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4470" windowWidth="15300" windowHeight="5010" activeTab="0"/>
  </bookViews>
  <sheets>
    <sheet name="PedZ" sheetId="1" r:id="rId1"/>
    <sheet name="OstZ" sheetId="2" r:id="rId2"/>
    <sheet name="Celkem" sheetId="3" r:id="rId3"/>
  </sheets>
  <definedNames/>
  <calcPr fullCalcOnLoad="1"/>
</workbook>
</file>

<file path=xl/sharedStrings.xml><?xml version="1.0" encoding="utf-8"?>
<sst xmlns="http://schemas.openxmlformats.org/spreadsheetml/2006/main" count="304" uniqueCount="106">
  <si>
    <t>ŠKOLA (ŠKOLSKÉ ZAŘÍZENÍ):</t>
  </si>
  <si>
    <t>(VZOR)</t>
  </si>
  <si>
    <t>Skutečnost škol. rok 2001/2002</t>
  </si>
  <si>
    <t>Tomu odpovídá skutečný počet ped. zaměstnanců v roce 2002 (Výkaz P1-04)</t>
  </si>
  <si>
    <t>Skutečnost škol. rok 2002/2003</t>
  </si>
  <si>
    <t>Tomu odpovídá skutečný počet ped. zaměstnanců v roce 2003 (Výkaz P1-04)</t>
  </si>
  <si>
    <t>Skutečnost škol. rok 2003/2004</t>
  </si>
  <si>
    <t>Předpoklad škol. rok 2004/2005</t>
  </si>
  <si>
    <t>Tomu odpovídá očekávaný počet ped. zaměstnanců   v roce 2005</t>
  </si>
  <si>
    <t>Počet žáků školy (denní studium)</t>
  </si>
  <si>
    <t xml:space="preserve">    počet: ubytovaných</t>
  </si>
  <si>
    <t xml:space="preserve">               stravovaných</t>
  </si>
  <si>
    <t xml:space="preserve">               v družině (klubu)</t>
  </si>
  <si>
    <t xml:space="preserve">               v dalších součástech</t>
  </si>
  <si>
    <t>Celkem</t>
  </si>
  <si>
    <t>Přepočtený</t>
  </si>
  <si>
    <t>Průměrný</t>
  </si>
  <si>
    <t>Členění průměrného platu podle jednotlivých složek platu v Kč</t>
  </si>
  <si>
    <t>% nenárokových</t>
  </si>
  <si>
    <t>Roční objem</t>
  </si>
  <si>
    <t>z toho</t>
  </si>
  <si>
    <t xml:space="preserve">počet </t>
  </si>
  <si>
    <t xml:space="preserve">měs. plat </t>
  </si>
  <si>
    <t>Platové</t>
  </si>
  <si>
    <t>Náhrady</t>
  </si>
  <si>
    <t>Příplatky</t>
  </si>
  <si>
    <t xml:space="preserve">Zvláštní </t>
  </si>
  <si>
    <t>Další</t>
  </si>
  <si>
    <t xml:space="preserve">Platy za </t>
  </si>
  <si>
    <t>Ostatní</t>
  </si>
  <si>
    <t>nárokové</t>
  </si>
  <si>
    <t>Osobní</t>
  </si>
  <si>
    <t>Odměny</t>
  </si>
  <si>
    <t>nenárokové</t>
  </si>
  <si>
    <t>složek platu</t>
  </si>
  <si>
    <t>MP</t>
  </si>
  <si>
    <t>zaměstnanců</t>
  </si>
  <si>
    <t>bez OON</t>
  </si>
  <si>
    <t>tarify</t>
  </si>
  <si>
    <t>platu</t>
  </si>
  <si>
    <t>za vedeni</t>
  </si>
  <si>
    <t>příplatky</t>
  </si>
  <si>
    <t>plat</t>
  </si>
  <si>
    <t>přesčasy</t>
  </si>
  <si>
    <t>příplatky a</t>
  </si>
  <si>
    <t>složky</t>
  </si>
  <si>
    <t>z tarifních</t>
  </si>
  <si>
    <t>OPPP (OON)</t>
  </si>
  <si>
    <t>prostředků na platy</t>
  </si>
  <si>
    <t>ze stát.rozpočtu</t>
  </si>
  <si>
    <t>v Kč</t>
  </si>
  <si>
    <t>ost.náhrady</t>
  </si>
  <si>
    <t>platů</t>
  </si>
  <si>
    <t>v tis.Kč</t>
  </si>
  <si>
    <t>a</t>
  </si>
  <si>
    <t>b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</si>
  <si>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</si>
  <si>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</si>
  <si>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</si>
  <si>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</si>
  <si>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</si>
  <si>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</si>
  <si>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</si>
  <si>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</si>
  <si>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</si>
  <si>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</si>
  <si>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</si>
  <si>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</si>
  <si>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</si>
  <si>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skutečný průměrný měsíční plat</t>
  </si>
  <si>
    <t>xxxxxxxxx</t>
  </si>
  <si>
    <t>Nulová výplata 13. a 14. platu</t>
  </si>
  <si>
    <t>a jeho jednotlivé složky</t>
  </si>
  <si>
    <t>80% osobní příplatky</t>
  </si>
  <si>
    <t>20% odměny</t>
  </si>
  <si>
    <t>;</t>
  </si>
  <si>
    <t>Tomu odpovídá skutečný počet neped. zaměstnanců v roce 2002 (Výkaz P1-04)</t>
  </si>
  <si>
    <t>Skutečnost  škol. rok 2003/2004</t>
  </si>
  <si>
    <t>Tomu odpovídá skutečný počet  zaměstnanců v roce 2002 (Výkaz P1-04)</t>
  </si>
  <si>
    <t>Tomu odpovídá skutečný počet  zaměstnanců v roce 2003 (Výkaz P1-04)</t>
  </si>
  <si>
    <t>Tomu odpovídá očekávaný  počet  zaměstnanců v roce 2004</t>
  </si>
  <si>
    <t>Tomu odpovídá očekávaný počet zaměstnanců   v roce 2005</t>
  </si>
  <si>
    <t>o</t>
  </si>
  <si>
    <t>p</t>
  </si>
  <si>
    <t>Skutečnost  škol. rok 2004/2005</t>
  </si>
  <si>
    <t>Tomu odpovídá sktečný  počet ped. zaměstnanců v roce 2004</t>
  </si>
  <si>
    <t>Předpoklad škol. rok 2005/2006</t>
  </si>
  <si>
    <t>Tomu odpovídá očekávaný počet ped. zaměstnanců  od 1.9.2005</t>
  </si>
  <si>
    <t xml:space="preserve">Dopad změny tarifů zavedením nové platové tabulky </t>
  </si>
  <si>
    <t>Změna počtu pedatgogických zaměstnanců od 1.9.2005 vlivem změny počtu žáků</t>
  </si>
  <si>
    <t xml:space="preserve">Tomu odpovídá skutečný počet neped. zaměstnanců v roce 2003 </t>
  </si>
  <si>
    <t xml:space="preserve">Pozn.: Při vyplňování je možno využít zadaných výpočtových vzorců a měnit pouze zeleně podbarvené buňky </t>
  </si>
  <si>
    <t>Čerpání limitu počtu ped. zam.  v roce 2005</t>
  </si>
  <si>
    <t>roku 2005 a jeho jednotlivé složky (dle výkazu P1-04)</t>
  </si>
  <si>
    <t>Průměrný měsíční plat roku 2005 přepočtený na podmínky platné od 1.1.2006</t>
  </si>
  <si>
    <t>tj. v přepočtu na celorok 2006</t>
  </si>
  <si>
    <t>Změna počtu pedatgogických zaměstnanců od 1.9.2006 vlivem změny počtu žáků</t>
  </si>
  <si>
    <t>Očekávaný skut. počet ped.zam. na rok 2006,</t>
  </si>
  <si>
    <t>rozpočtovaný prům.měs.plat 2006 v Kč</t>
  </si>
  <si>
    <t>(potřeba fin.prostředků na rok 2006)</t>
  </si>
  <si>
    <t>Finanční rozvaha rozpisu počtu pedagogických zaměstnanců a prostředků na platy  na rok 2006</t>
  </si>
  <si>
    <t>Finanční rozvaha rozpisu počtu nepedagogických zaměstnanců a prostředků na platy  na rok 2006</t>
  </si>
  <si>
    <t>Rozdělení nenárokové složky - informativně</t>
  </si>
  <si>
    <t>Rozdělení nenárokové složky- informativně</t>
  </si>
  <si>
    <t>Finanční rozvaha rozpisu počtu  zaměstnanců a prostředků na platy  na rok 2006</t>
  </si>
  <si>
    <t>Rozdělení nenárokové složky-informativně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</si>
</sst>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  <numFmt numFmtId="172" formatCode="#,##0.000"/>
  </numFmts>
  <fonts count="20">
    <font>
      <sz val="10"/>
      <name val="Arial CE"/>
      <family val="0"/>
    </font>
    <font>
      <b/>
      <sz val="1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20"/>
      <name val="Arial CE"/>
      <family val="2"/>
    </font>
    <font>
      <b/>
      <sz val="18"/>
      <name val="Arial CE"/>
      <family val="2"/>
    </font>
    <font>
      <sz val="10"/>
      <name val="Times New Roman CE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8"/>
      <name val="Arial CE"/>
      <family val="2"/>
    </font>
    <font>
      <b/>
      <i/>
      <sz val="12"/>
      <name val="Times New Roman CE"/>
      <family val="1"/>
    </font>
    <font>
      <b/>
      <i/>
      <sz val="10"/>
      <name val="Arial CE"/>
      <family val="2"/>
    </font>
    <font>
      <b/>
      <sz val="12"/>
      <name val="Arial CE"/>
      <family val="0"/>
    </font>
    <font>
      <sz val="12"/>
      <name val="Arial CE"/>
      <family val="2"/>
    </font>
    <font>
      <b/>
      <i/>
      <sz val="14"/>
      <name val="Arial CE"/>
      <family val="2"/>
    </font>
    <font>
      <b/>
      <i/>
      <sz val="14"/>
      <color indexed="8"/>
      <name val="Arial CE"/>
      <family val="2"/>
    </font>
    <font>
      <b/>
      <i/>
      <sz val="14"/>
      <name val="Times New Roman CE"/>
      <family val="1"/>
    </font>
    <font>
      <sz val="14"/>
      <name val="Times New Roman CE"/>
      <family val="1"/>
    </font>
    <font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darkUp"/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right"/>
    </xf>
    <xf numFmtId="1" fontId="14" fillId="0" borderId="14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/>
    </xf>
    <xf numFmtId="0" fontId="10" fillId="0" borderId="6" xfId="0" applyFont="1" applyBorder="1" applyAlignment="1">
      <alignment/>
    </xf>
    <xf numFmtId="0" fontId="11" fillId="2" borderId="17" xfId="0" applyFont="1" applyFill="1" applyBorder="1" applyAlignment="1" applyProtection="1">
      <alignment/>
      <protection locked="0"/>
    </xf>
    <xf numFmtId="164" fontId="11" fillId="2" borderId="18" xfId="0" applyNumberFormat="1" applyFont="1" applyFill="1" applyBorder="1" applyAlignment="1" applyProtection="1">
      <alignment/>
      <protection locked="0"/>
    </xf>
    <xf numFmtId="0" fontId="11" fillId="2" borderId="19" xfId="0" applyFont="1" applyFill="1" applyBorder="1" applyAlignment="1" applyProtection="1">
      <alignment/>
      <protection locked="0"/>
    </xf>
    <xf numFmtId="0" fontId="11" fillId="2" borderId="20" xfId="0" applyFont="1" applyFill="1" applyBorder="1" applyAlignment="1" applyProtection="1">
      <alignment/>
      <protection locked="0"/>
    </xf>
    <xf numFmtId="0" fontId="4" fillId="0" borderId="9" xfId="0" applyFont="1" applyBorder="1" applyAlignment="1">
      <alignment/>
    </xf>
    <xf numFmtId="0" fontId="0" fillId="0" borderId="0" xfId="0" applyFont="1" applyAlignment="1">
      <alignment/>
    </xf>
    <xf numFmtId="0" fontId="3" fillId="0" borderId="21" xfId="0" applyFont="1" applyBorder="1" applyAlignment="1">
      <alignment/>
    </xf>
    <xf numFmtId="1" fontId="14" fillId="0" borderId="4" xfId="0" applyNumberFormat="1" applyFont="1" applyBorder="1" applyAlignment="1">
      <alignment/>
    </xf>
    <xf numFmtId="164" fontId="14" fillId="0" borderId="22" xfId="0" applyNumberFormat="1" applyFont="1" applyBorder="1" applyAlignment="1">
      <alignment/>
    </xf>
    <xf numFmtId="164" fontId="14" fillId="0" borderId="4" xfId="0" applyNumberFormat="1" applyFont="1" applyBorder="1" applyAlignment="1">
      <alignment/>
    </xf>
    <xf numFmtId="164" fontId="14" fillId="0" borderId="23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2" fillId="2" borderId="0" xfId="0" applyFont="1" applyFill="1" applyAlignment="1" applyProtection="1">
      <alignment/>
      <protection locked="0"/>
    </xf>
    <xf numFmtId="2" fontId="15" fillId="2" borderId="6" xfId="0" applyNumberFormat="1" applyFont="1" applyFill="1" applyBorder="1" applyAlignment="1" applyProtection="1">
      <alignment horizontal="right"/>
      <protection locked="0"/>
    </xf>
    <xf numFmtId="3" fontId="15" fillId="0" borderId="24" xfId="0" applyNumberFormat="1" applyFont="1" applyBorder="1" applyAlignment="1">
      <alignment horizontal="right"/>
    </xf>
    <xf numFmtId="3" fontId="16" fillId="2" borderId="10" xfId="0" applyNumberFormat="1" applyFont="1" applyFill="1" applyBorder="1" applyAlignment="1" applyProtection="1">
      <alignment vertical="center"/>
      <protection locked="0"/>
    </xf>
    <xf numFmtId="3" fontId="15" fillId="2" borderId="24" xfId="0" applyNumberFormat="1" applyFont="1" applyFill="1" applyBorder="1" applyAlignment="1" applyProtection="1">
      <alignment horizontal="right"/>
      <protection locked="0"/>
    </xf>
    <xf numFmtId="3" fontId="15" fillId="0" borderId="10" xfId="0" applyNumberFormat="1" applyFont="1" applyBorder="1" applyAlignment="1">
      <alignment horizontal="right"/>
    </xf>
    <xf numFmtId="3" fontId="15" fillId="2" borderId="10" xfId="0" applyNumberFormat="1" applyFont="1" applyFill="1" applyBorder="1" applyAlignment="1" applyProtection="1">
      <alignment horizontal="right"/>
      <protection locked="0"/>
    </xf>
    <xf numFmtId="4" fontId="15" fillId="0" borderId="11" xfId="0" applyNumberFormat="1" applyFont="1" applyBorder="1" applyAlignment="1">
      <alignment horizontal="right"/>
    </xf>
    <xf numFmtId="3" fontId="15" fillId="0" borderId="6" xfId="0" applyNumberFormat="1" applyFont="1" applyBorder="1" applyAlignment="1">
      <alignment/>
    </xf>
    <xf numFmtId="3" fontId="15" fillId="2" borderId="25" xfId="0" applyNumberFormat="1" applyFont="1" applyFill="1" applyBorder="1" applyAlignment="1" applyProtection="1">
      <alignment horizontal="right"/>
      <protection locked="0"/>
    </xf>
    <xf numFmtId="3" fontId="15" fillId="0" borderId="25" xfId="0" applyNumberFormat="1" applyFont="1" applyBorder="1" applyAlignment="1">
      <alignment/>
    </xf>
    <xf numFmtId="1" fontId="15" fillId="0" borderId="6" xfId="0" applyNumberFormat="1" applyFont="1" applyBorder="1" applyAlignment="1">
      <alignment horizontal="right"/>
    </xf>
    <xf numFmtId="1" fontId="15" fillId="0" borderId="24" xfId="0" applyNumberFormat="1" applyFont="1" applyBorder="1" applyAlignment="1">
      <alignment horizontal="right"/>
    </xf>
    <xf numFmtId="1" fontId="15" fillId="0" borderId="10" xfId="0" applyNumberFormat="1" applyFont="1" applyBorder="1" applyAlignment="1">
      <alignment horizontal="right"/>
    </xf>
    <xf numFmtId="164" fontId="15" fillId="0" borderId="11" xfId="0" applyNumberFormat="1" applyFont="1" applyBorder="1" applyAlignment="1">
      <alignment/>
    </xf>
    <xf numFmtId="164" fontId="15" fillId="0" borderId="6" xfId="0" applyNumberFormat="1" applyFont="1" applyBorder="1" applyAlignment="1">
      <alignment/>
    </xf>
    <xf numFmtId="164" fontId="15" fillId="0" borderId="25" xfId="0" applyNumberFormat="1" applyFont="1" applyBorder="1" applyAlignment="1">
      <alignment/>
    </xf>
    <xf numFmtId="0" fontId="15" fillId="0" borderId="25" xfId="0" applyFont="1" applyBorder="1" applyAlignment="1">
      <alignment/>
    </xf>
    <xf numFmtId="2" fontId="15" fillId="0" borderId="4" xfId="0" applyNumberFormat="1" applyFont="1" applyBorder="1" applyAlignment="1">
      <alignment horizontal="right"/>
    </xf>
    <xf numFmtId="3" fontId="15" fillId="0" borderId="26" xfId="0" applyNumberFormat="1" applyFont="1" applyBorder="1" applyAlignment="1">
      <alignment horizontal="right"/>
    </xf>
    <xf numFmtId="1" fontId="15" fillId="2" borderId="14" xfId="0" applyNumberFormat="1" applyFont="1" applyFill="1" applyBorder="1" applyAlignment="1" applyProtection="1">
      <alignment horizontal="right"/>
      <protection locked="0"/>
    </xf>
    <xf numFmtId="1" fontId="15" fillId="0" borderId="14" xfId="0" applyNumberFormat="1" applyFont="1" applyBorder="1" applyAlignment="1">
      <alignment horizontal="right"/>
    </xf>
    <xf numFmtId="1" fontId="15" fillId="0" borderId="27" xfId="0" applyNumberFormat="1" applyFont="1" applyBorder="1" applyAlignment="1">
      <alignment horizontal="right"/>
    </xf>
    <xf numFmtId="3" fontId="15" fillId="0" borderId="28" xfId="0" applyNumberFormat="1" applyFont="1" applyBorder="1" applyAlignment="1">
      <alignment horizontal="right"/>
    </xf>
    <xf numFmtId="164" fontId="15" fillId="0" borderId="27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right"/>
    </xf>
    <xf numFmtId="1" fontId="15" fillId="0" borderId="6" xfId="0" applyNumberFormat="1" applyFont="1" applyBorder="1" applyAlignment="1">
      <alignment horizontal="center"/>
    </xf>
    <xf numFmtId="166" fontId="15" fillId="0" borderId="28" xfId="0" applyNumberFormat="1" applyFont="1" applyBorder="1" applyAlignment="1">
      <alignment horizontal="right"/>
    </xf>
    <xf numFmtId="166" fontId="15" fillId="0" borderId="26" xfId="0" applyNumberFormat="1" applyFont="1" applyBorder="1" applyAlignment="1">
      <alignment horizontal="right"/>
    </xf>
    <xf numFmtId="1" fontId="15" fillId="0" borderId="26" xfId="0" applyNumberFormat="1" applyFont="1" applyBorder="1" applyAlignment="1">
      <alignment horizontal="right"/>
    </xf>
    <xf numFmtId="1" fontId="15" fillId="0" borderId="29" xfId="0" applyNumberFormat="1" applyFont="1" applyBorder="1" applyAlignment="1">
      <alignment horizontal="right"/>
    </xf>
    <xf numFmtId="166" fontId="15" fillId="0" borderId="29" xfId="0" applyNumberFormat="1" applyFont="1" applyBorder="1" applyAlignment="1">
      <alignment horizontal="right"/>
    </xf>
    <xf numFmtId="164" fontId="15" fillId="0" borderId="29" xfId="0" applyNumberFormat="1" applyFont="1" applyBorder="1" applyAlignment="1">
      <alignment horizontal="center"/>
    </xf>
    <xf numFmtId="166" fontId="15" fillId="0" borderId="9" xfId="0" applyNumberFormat="1" applyFont="1" applyBorder="1" applyAlignment="1">
      <alignment horizontal="right"/>
    </xf>
    <xf numFmtId="1" fontId="15" fillId="0" borderId="9" xfId="0" applyNumberFormat="1" applyFont="1" applyBorder="1" applyAlignment="1">
      <alignment horizontal="right"/>
    </xf>
    <xf numFmtId="166" fontId="15" fillId="0" borderId="30" xfId="0" applyNumberFormat="1" applyFont="1" applyBorder="1" applyAlignment="1">
      <alignment horizontal="right"/>
    </xf>
    <xf numFmtId="166" fontId="15" fillId="0" borderId="14" xfId="0" applyNumberFormat="1" applyFont="1" applyBorder="1" applyAlignment="1">
      <alignment horizontal="right"/>
    </xf>
    <xf numFmtId="1" fontId="15" fillId="0" borderId="9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/>
    </xf>
    <xf numFmtId="2" fontId="15" fillId="0" borderId="24" xfId="0" applyNumberFormat="1" applyFont="1" applyBorder="1" applyAlignment="1">
      <alignment horizontal="right"/>
    </xf>
    <xf numFmtId="4" fontId="15" fillId="0" borderId="31" xfId="0" applyNumberFormat="1" applyFont="1" applyBorder="1" applyAlignment="1">
      <alignment horizontal="right"/>
    </xf>
    <xf numFmtId="3" fontId="15" fillId="0" borderId="9" xfId="0" applyNumberFormat="1" applyFont="1" applyBorder="1" applyAlignment="1">
      <alignment/>
    </xf>
    <xf numFmtId="3" fontId="15" fillId="0" borderId="30" xfId="0" applyNumberFormat="1" applyFont="1" applyBorder="1" applyAlignment="1">
      <alignment/>
    </xf>
    <xf numFmtId="1" fontId="15" fillId="0" borderId="23" xfId="0" applyNumberFormat="1" applyFont="1" applyBorder="1" applyAlignment="1">
      <alignment horizontal="right"/>
    </xf>
    <xf numFmtId="1" fontId="15" fillId="3" borderId="13" xfId="0" applyNumberFormat="1" applyFont="1" applyFill="1" applyBorder="1" applyAlignment="1">
      <alignment horizontal="right"/>
    </xf>
    <xf numFmtId="167" fontId="15" fillId="3" borderId="13" xfId="0" applyNumberFormat="1" applyFont="1" applyFill="1" applyBorder="1" applyAlignment="1">
      <alignment horizontal="right"/>
    </xf>
    <xf numFmtId="164" fontId="15" fillId="3" borderId="27" xfId="0" applyNumberFormat="1" applyFont="1" applyFill="1" applyBorder="1" applyAlignment="1">
      <alignment/>
    </xf>
    <xf numFmtId="164" fontId="15" fillId="3" borderId="4" xfId="0" applyNumberFormat="1" applyFont="1" applyFill="1" applyBorder="1" applyAlignment="1">
      <alignment/>
    </xf>
    <xf numFmtId="164" fontId="15" fillId="3" borderId="23" xfId="0" applyNumberFormat="1" applyFont="1" applyFill="1" applyBorder="1" applyAlignment="1">
      <alignment/>
    </xf>
    <xf numFmtId="0" fontId="15" fillId="3" borderId="23" xfId="0" applyFont="1" applyFill="1" applyBorder="1" applyAlignment="1">
      <alignment/>
    </xf>
    <xf numFmtId="2" fontId="15" fillId="0" borderId="25" xfId="0" applyNumberFormat="1" applyFont="1" applyBorder="1" applyAlignment="1">
      <alignment horizontal="right"/>
    </xf>
    <xf numFmtId="1" fontId="15" fillId="3" borderId="28" xfId="0" applyNumberFormat="1" applyFont="1" applyFill="1" applyBorder="1" applyAlignment="1">
      <alignment horizontal="right"/>
    </xf>
    <xf numFmtId="167" fontId="15" fillId="3" borderId="28" xfId="0" applyNumberFormat="1" applyFont="1" applyFill="1" applyBorder="1" applyAlignment="1">
      <alignment horizontal="right"/>
    </xf>
    <xf numFmtId="164" fontId="15" fillId="3" borderId="29" xfId="0" applyNumberFormat="1" applyFont="1" applyFill="1" applyBorder="1" applyAlignment="1">
      <alignment/>
    </xf>
    <xf numFmtId="164" fontId="15" fillId="3" borderId="9" xfId="0" applyNumberFormat="1" applyFont="1" applyFill="1" applyBorder="1" applyAlignment="1">
      <alignment/>
    </xf>
    <xf numFmtId="164" fontId="15" fillId="3" borderId="30" xfId="0" applyNumberFormat="1" applyFont="1" applyFill="1" applyBorder="1" applyAlignment="1">
      <alignment/>
    </xf>
    <xf numFmtId="0" fontId="15" fillId="3" borderId="30" xfId="0" applyFont="1" applyFill="1" applyBorder="1" applyAlignment="1">
      <alignment/>
    </xf>
    <xf numFmtId="2" fontId="15" fillId="0" borderId="32" xfId="0" applyNumberFormat="1" applyFont="1" applyBorder="1" applyAlignment="1">
      <alignment/>
    </xf>
    <xf numFmtId="1" fontId="15" fillId="3" borderId="33" xfId="0" applyNumberFormat="1" applyFont="1" applyFill="1" applyBorder="1" applyAlignment="1">
      <alignment/>
    </xf>
    <xf numFmtId="164" fontId="15" fillId="3" borderId="33" xfId="0" applyNumberFormat="1" applyFont="1" applyFill="1" applyBorder="1" applyAlignment="1">
      <alignment/>
    </xf>
    <xf numFmtId="167" fontId="15" fillId="3" borderId="33" xfId="0" applyNumberFormat="1" applyFont="1" applyFill="1" applyBorder="1" applyAlignment="1">
      <alignment horizontal="right"/>
    </xf>
    <xf numFmtId="1" fontId="15" fillId="3" borderId="7" xfId="0" applyNumberFormat="1" applyFont="1" applyFill="1" applyBorder="1" applyAlignment="1">
      <alignment/>
    </xf>
    <xf numFmtId="1" fontId="15" fillId="3" borderId="4" xfId="0" applyNumberFormat="1" applyFont="1" applyFill="1" applyBorder="1" applyAlignment="1">
      <alignment/>
    </xf>
    <xf numFmtId="1" fontId="15" fillId="3" borderId="23" xfId="0" applyNumberFormat="1" applyFont="1" applyFill="1" applyBorder="1" applyAlignment="1">
      <alignment/>
    </xf>
    <xf numFmtId="2" fontId="15" fillId="0" borderId="23" xfId="0" applyNumberFormat="1" applyFont="1" applyBorder="1" applyAlignment="1">
      <alignment horizontal="right"/>
    </xf>
    <xf numFmtId="164" fontId="15" fillId="3" borderId="6" xfId="0" applyNumberFormat="1" applyFont="1" applyFill="1" applyBorder="1" applyAlignment="1">
      <alignment/>
    </xf>
    <xf numFmtId="164" fontId="15" fillId="3" borderId="25" xfId="0" applyNumberFormat="1" applyFont="1" applyFill="1" applyBorder="1" applyAlignment="1">
      <alignment/>
    </xf>
    <xf numFmtId="0" fontId="15" fillId="3" borderId="25" xfId="0" applyFont="1" applyFill="1" applyBorder="1" applyAlignment="1">
      <alignment/>
    </xf>
    <xf numFmtId="2" fontId="15" fillId="0" borderId="34" xfId="0" applyNumberFormat="1" applyFont="1" applyBorder="1" applyAlignment="1">
      <alignment/>
    </xf>
    <xf numFmtId="0" fontId="15" fillId="0" borderId="27" xfId="0" applyFont="1" applyBorder="1" applyAlignment="1">
      <alignment/>
    </xf>
    <xf numFmtId="164" fontId="15" fillId="0" borderId="22" xfId="0" applyNumberFormat="1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15" fillId="0" borderId="23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6" xfId="0" applyFont="1" applyBorder="1" applyAlignment="1">
      <alignment/>
    </xf>
    <xf numFmtId="2" fontId="15" fillId="0" borderId="11" xfId="0" applyNumberFormat="1" applyFont="1" applyBorder="1" applyAlignment="1">
      <alignment horizontal="right"/>
    </xf>
    <xf numFmtId="1" fontId="15" fillId="0" borderId="6" xfId="0" applyNumberFormat="1" applyFont="1" applyBorder="1" applyAlignment="1">
      <alignment/>
    </xf>
    <xf numFmtId="164" fontId="15" fillId="0" borderId="31" xfId="0" applyNumberFormat="1" applyFont="1" applyBorder="1" applyAlignment="1">
      <alignment/>
    </xf>
    <xf numFmtId="164" fontId="15" fillId="0" borderId="9" xfId="0" applyNumberFormat="1" applyFont="1" applyBorder="1" applyAlignment="1">
      <alignment/>
    </xf>
    <xf numFmtId="164" fontId="15" fillId="0" borderId="30" xfId="0" applyNumberFormat="1" applyFont="1" applyBorder="1" applyAlignment="1">
      <alignment/>
    </xf>
    <xf numFmtId="1" fontId="15" fillId="0" borderId="9" xfId="0" applyNumberFormat="1" applyFont="1" applyBorder="1" applyAlignment="1">
      <alignment/>
    </xf>
    <xf numFmtId="2" fontId="15" fillId="0" borderId="6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/>
    </xf>
    <xf numFmtId="1" fontId="15" fillId="0" borderId="0" xfId="0" applyNumberFormat="1" applyFont="1" applyBorder="1" applyAlignment="1">
      <alignment horizontal="right"/>
    </xf>
    <xf numFmtId="164" fontId="15" fillId="0" borderId="6" xfId="0" applyNumberFormat="1" applyFont="1" applyBorder="1" applyAlignment="1">
      <alignment horizontal="center"/>
    </xf>
    <xf numFmtId="2" fontId="15" fillId="0" borderId="9" xfId="0" applyNumberFormat="1" applyFont="1" applyBorder="1" applyAlignment="1">
      <alignment horizontal="right"/>
    </xf>
    <xf numFmtId="1" fontId="15" fillId="0" borderId="29" xfId="0" applyNumberFormat="1" applyFont="1" applyBorder="1" applyAlignment="1">
      <alignment horizontal="center"/>
    </xf>
    <xf numFmtId="2" fontId="15" fillId="0" borderId="9" xfId="0" applyNumberFormat="1" applyFont="1" applyBorder="1" applyAlignment="1">
      <alignment horizontal="center"/>
    </xf>
    <xf numFmtId="164" fontId="15" fillId="0" borderId="9" xfId="0" applyNumberFormat="1" applyFont="1" applyBorder="1" applyAlignment="1">
      <alignment horizontal="center"/>
    </xf>
    <xf numFmtId="0" fontId="17" fillId="2" borderId="17" xfId="0" applyFont="1" applyFill="1" applyBorder="1" applyAlignment="1" applyProtection="1">
      <alignment/>
      <protection locked="0"/>
    </xf>
    <xf numFmtId="0" fontId="17" fillId="2" borderId="18" xfId="0" applyFont="1" applyFill="1" applyBorder="1" applyAlignment="1" applyProtection="1">
      <alignment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2" borderId="19" xfId="0" applyFont="1" applyFill="1" applyBorder="1" applyAlignment="1" applyProtection="1">
      <alignment/>
      <protection locked="0"/>
    </xf>
    <xf numFmtId="0" fontId="17" fillId="2" borderId="20" xfId="0" applyFont="1" applyFill="1" applyBorder="1" applyAlignment="1" applyProtection="1">
      <alignment/>
      <protection locked="0"/>
    </xf>
    <xf numFmtId="0" fontId="17" fillId="0" borderId="35" xfId="0" applyFont="1" applyBorder="1" applyAlignment="1">
      <alignment/>
    </xf>
    <xf numFmtId="0" fontId="17" fillId="0" borderId="36" xfId="0" applyFont="1" applyBorder="1" applyAlignment="1">
      <alignment/>
    </xf>
    <xf numFmtId="0" fontId="19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19" fillId="0" borderId="27" xfId="0" applyNumberFormat="1" applyFont="1" applyBorder="1" applyAlignment="1">
      <alignment/>
    </xf>
    <xf numFmtId="1" fontId="19" fillId="0" borderId="14" xfId="0" applyNumberFormat="1" applyFont="1" applyBorder="1" applyAlignment="1">
      <alignment horizontal="right"/>
    </xf>
    <xf numFmtId="164" fontId="19" fillId="0" borderId="22" xfId="0" applyNumberFormat="1" applyFont="1" applyBorder="1" applyAlignment="1">
      <alignment/>
    </xf>
    <xf numFmtId="164" fontId="19" fillId="0" borderId="4" xfId="0" applyNumberFormat="1" applyFont="1" applyBorder="1" applyAlignment="1">
      <alignment/>
    </xf>
    <xf numFmtId="164" fontId="19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2" fontId="15" fillId="2" borderId="24" xfId="0" applyNumberFormat="1" applyFont="1" applyFill="1" applyBorder="1" applyAlignment="1" applyProtection="1">
      <alignment horizontal="right"/>
      <protection locked="0"/>
    </xf>
    <xf numFmtId="1" fontId="15" fillId="0" borderId="28" xfId="0" applyNumberFormat="1" applyFont="1" applyBorder="1" applyAlignment="1">
      <alignment horizontal="right"/>
    </xf>
    <xf numFmtId="0" fontId="15" fillId="0" borderId="30" xfId="0" applyFont="1" applyBorder="1" applyAlignment="1">
      <alignment/>
    </xf>
    <xf numFmtId="2" fontId="15" fillId="0" borderId="11" xfId="0" applyNumberFormat="1" applyFont="1" applyBorder="1" applyAlignment="1">
      <alignment/>
    </xf>
    <xf numFmtId="0" fontId="17" fillId="0" borderId="17" xfId="0" applyFont="1" applyBorder="1" applyAlignment="1">
      <alignment/>
    </xf>
    <xf numFmtId="164" fontId="17" fillId="0" borderId="37" xfId="0" applyNumberFormat="1" applyFont="1" applyBorder="1" applyAlignment="1">
      <alignment/>
    </xf>
    <xf numFmtId="164" fontId="17" fillId="0" borderId="18" xfId="0" applyNumberFormat="1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19" xfId="0" applyFont="1" applyBorder="1" applyAlignment="1">
      <alignment/>
    </xf>
    <xf numFmtId="164" fontId="17" fillId="0" borderId="39" xfId="0" applyNumberFormat="1" applyFont="1" applyBorder="1" applyAlignment="1">
      <alignment/>
    </xf>
    <xf numFmtId="164" fontId="17" fillId="0" borderId="20" xfId="0" applyNumberFormat="1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" fontId="15" fillId="0" borderId="27" xfId="0" applyNumberFormat="1" applyFont="1" applyBorder="1" applyAlignment="1">
      <alignment/>
    </xf>
    <xf numFmtId="0" fontId="15" fillId="0" borderId="23" xfId="0" applyFont="1" applyBorder="1" applyAlignment="1">
      <alignment/>
    </xf>
    <xf numFmtId="3" fontId="16" fillId="0" borderId="10" xfId="0" applyNumberFormat="1" applyFont="1" applyFill="1" applyBorder="1" applyAlignment="1">
      <alignment vertical="center"/>
    </xf>
    <xf numFmtId="1" fontId="15" fillId="3" borderId="12" xfId="0" applyNumberFormat="1" applyFont="1" applyFill="1" applyBorder="1" applyAlignment="1">
      <alignment horizontal="right"/>
    </xf>
    <xf numFmtId="1" fontId="15" fillId="3" borderId="27" xfId="0" applyNumberFormat="1" applyFont="1" applyFill="1" applyBorder="1" applyAlignment="1">
      <alignment horizontal="right"/>
    </xf>
    <xf numFmtId="167" fontId="15" fillId="3" borderId="27" xfId="0" applyNumberFormat="1" applyFont="1" applyFill="1" applyBorder="1" applyAlignment="1">
      <alignment horizontal="right"/>
    </xf>
    <xf numFmtId="164" fontId="15" fillId="3" borderId="12" xfId="0" applyNumberFormat="1" applyFont="1" applyFill="1" applyBorder="1" applyAlignment="1">
      <alignment/>
    </xf>
    <xf numFmtId="1" fontId="15" fillId="3" borderId="5" xfId="0" applyNumberFormat="1" applyFont="1" applyFill="1" applyBorder="1" applyAlignment="1">
      <alignment horizontal="right"/>
    </xf>
    <xf numFmtId="1" fontId="15" fillId="3" borderId="0" xfId="0" applyNumberFormat="1" applyFont="1" applyFill="1" applyBorder="1" applyAlignment="1">
      <alignment horizontal="right"/>
    </xf>
    <xf numFmtId="167" fontId="15" fillId="3" borderId="0" xfId="0" applyNumberFormat="1" applyFont="1" applyFill="1" applyBorder="1" applyAlignment="1">
      <alignment horizontal="right"/>
    </xf>
    <xf numFmtId="164" fontId="15" fillId="3" borderId="0" xfId="0" applyNumberFormat="1" applyFont="1" applyFill="1" applyBorder="1" applyAlignment="1">
      <alignment/>
    </xf>
    <xf numFmtId="164" fontId="15" fillId="3" borderId="5" xfId="0" applyNumberFormat="1" applyFont="1" applyFill="1" applyBorder="1" applyAlignment="1">
      <alignment/>
    </xf>
    <xf numFmtId="1" fontId="15" fillId="3" borderId="15" xfId="0" applyNumberFormat="1" applyFont="1" applyFill="1" applyBorder="1" applyAlignment="1">
      <alignment horizontal="right"/>
    </xf>
    <xf numFmtId="1" fontId="15" fillId="3" borderId="29" xfId="0" applyNumberFormat="1" applyFont="1" applyFill="1" applyBorder="1" applyAlignment="1">
      <alignment horizontal="right"/>
    </xf>
    <xf numFmtId="167" fontId="15" fillId="3" borderId="29" xfId="0" applyNumberFormat="1" applyFont="1" applyFill="1" applyBorder="1" applyAlignment="1">
      <alignment horizontal="right"/>
    </xf>
    <xf numFmtId="164" fontId="15" fillId="3" borderId="15" xfId="0" applyNumberFormat="1" applyFont="1" applyFill="1" applyBorder="1" applyAlignment="1">
      <alignment/>
    </xf>
    <xf numFmtId="2" fontId="15" fillId="0" borderId="0" xfId="0" applyNumberFormat="1" applyFont="1" applyBorder="1" applyAlignment="1">
      <alignment horizontal="right"/>
    </xf>
    <xf numFmtId="2" fontId="15" fillId="0" borderId="43" xfId="0" applyNumberFormat="1" applyFont="1" applyBorder="1" applyAlignment="1">
      <alignment/>
    </xf>
    <xf numFmtId="1" fontId="15" fillId="3" borderId="5" xfId="0" applyNumberFormat="1" applyFont="1" applyFill="1" applyBorder="1" applyAlignment="1">
      <alignment/>
    </xf>
    <xf numFmtId="1" fontId="15" fillId="3" borderId="0" xfId="0" applyNumberFormat="1" applyFont="1" applyFill="1" applyBorder="1" applyAlignment="1">
      <alignment/>
    </xf>
    <xf numFmtId="2" fontId="15" fillId="0" borderId="27" xfId="0" applyNumberFormat="1" applyFont="1" applyBorder="1" applyAlignment="1">
      <alignment horizontal="right"/>
    </xf>
    <xf numFmtId="2" fontId="15" fillId="0" borderId="44" xfId="0" applyNumberFormat="1" applyFont="1" applyBorder="1" applyAlignment="1">
      <alignment/>
    </xf>
    <xf numFmtId="1" fontId="15" fillId="3" borderId="15" xfId="0" applyNumberFormat="1" applyFont="1" applyFill="1" applyBorder="1" applyAlignment="1">
      <alignment/>
    </xf>
    <xf numFmtId="1" fontId="15" fillId="3" borderId="29" xfId="0" applyNumberFormat="1" applyFont="1" applyFill="1" applyBorder="1" applyAlignment="1">
      <alignment/>
    </xf>
    <xf numFmtId="0" fontId="2" fillId="0" borderId="0" xfId="0" applyFont="1" applyAlignment="1">
      <alignment/>
    </xf>
    <xf numFmtId="164" fontId="11" fillId="0" borderId="18" xfId="0" applyNumberFormat="1" applyFont="1" applyFill="1" applyBorder="1" applyAlignment="1" applyProtection="1">
      <alignment/>
      <protection locked="0"/>
    </xf>
    <xf numFmtId="0" fontId="11" fillId="0" borderId="20" xfId="0" applyFont="1" applyFill="1" applyBorder="1" applyAlignment="1" applyProtection="1">
      <alignment/>
      <protection locked="0"/>
    </xf>
    <xf numFmtId="0" fontId="17" fillId="0" borderId="18" xfId="0" applyFont="1" applyFill="1" applyBorder="1" applyAlignment="1" applyProtection="1">
      <alignment/>
      <protection locked="0"/>
    </xf>
    <xf numFmtId="0" fontId="17" fillId="0" borderId="20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8" fillId="2" borderId="5" xfId="0" applyFont="1" applyFill="1" applyBorder="1" applyAlignment="1">
      <alignment horizontal="left" vertical="center"/>
    </xf>
    <xf numFmtId="0" fontId="0" fillId="2" borderId="0" xfId="0" applyFill="1" applyAlignment="1">
      <alignment/>
    </xf>
    <xf numFmtId="0" fontId="19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8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38"/>
  <sheetViews>
    <sheetView tabSelected="1" zoomScale="65" zoomScaleNormal="65" workbookViewId="0" topLeftCell="A1">
      <selection activeCell="B25" sqref="B25:B26"/>
    </sheetView>
  </sheetViews>
  <sheetFormatPr defaultColWidth="9.00390625" defaultRowHeight="12.75"/>
  <cols>
    <col min="1" max="1" width="6.875" style="1" customWidth="1"/>
    <col min="2" max="2" width="53.875" style="42" customWidth="1"/>
    <col min="3" max="3" width="15.125" style="42" customWidth="1"/>
    <col min="4" max="4" width="15.75390625" style="42" customWidth="1"/>
    <col min="5" max="5" width="14.75390625" style="42" customWidth="1"/>
    <col min="6" max="6" width="16.125" style="42" customWidth="1"/>
    <col min="7" max="7" width="14.75390625" style="42" customWidth="1"/>
    <col min="8" max="8" width="15.625" style="42" customWidth="1"/>
    <col min="9" max="9" width="18.75390625" style="42" customWidth="1"/>
    <col min="10" max="10" width="16.75390625" style="42" customWidth="1"/>
    <col min="11" max="11" width="13.375" style="42" customWidth="1"/>
    <col min="12" max="12" width="15.25390625" style="42" customWidth="1"/>
    <col min="13" max="13" width="8.625" style="42" customWidth="1"/>
    <col min="14" max="14" width="8.25390625" style="42" customWidth="1"/>
    <col min="15" max="15" width="11.25390625" style="42" customWidth="1"/>
    <col min="16" max="17" width="15.75390625" style="42" customWidth="1"/>
    <col min="18" max="18" width="14.875" style="42" customWidth="1"/>
    <col min="19" max="19" width="19.25390625" style="44" customWidth="1"/>
  </cols>
  <sheetData>
    <row r="1" spans="2:19" ht="20.25">
      <c r="B1" s="41" t="s">
        <v>0</v>
      </c>
      <c r="D1" s="62" t="s">
        <v>1</v>
      </c>
      <c r="S1" s="43"/>
    </row>
    <row r="2" spans="2:19" ht="25.5">
      <c r="B2" s="44"/>
      <c r="H2" s="45"/>
      <c r="S2" s="43"/>
    </row>
    <row r="3" spans="2:15" ht="24" thickBot="1">
      <c r="B3" s="46" t="s">
        <v>100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6" ht="105.75" thickBot="1">
      <c r="A4" s="3"/>
      <c r="B4" s="48"/>
      <c r="C4" s="4" t="s">
        <v>2</v>
      </c>
      <c r="D4" s="5" t="s">
        <v>3</v>
      </c>
      <c r="E4" s="4" t="s">
        <v>4</v>
      </c>
      <c r="F4" s="5" t="s">
        <v>5</v>
      </c>
      <c r="G4" s="4" t="s">
        <v>6</v>
      </c>
      <c r="H4" s="5" t="s">
        <v>85</v>
      </c>
      <c r="I4" s="4" t="s">
        <v>84</v>
      </c>
      <c r="J4" s="5" t="s">
        <v>8</v>
      </c>
      <c r="K4" s="4" t="s">
        <v>86</v>
      </c>
      <c r="L4" s="5" t="s">
        <v>87</v>
      </c>
      <c r="M4" s="47"/>
      <c r="N4" s="47"/>
      <c r="O4" s="47"/>
      <c r="P4" s="42" t="s">
        <v>75</v>
      </c>
    </row>
    <row r="5" spans="1:15" ht="23.25">
      <c r="A5" s="6"/>
      <c r="B5" s="49" t="s">
        <v>9</v>
      </c>
      <c r="C5" s="50">
        <v>500</v>
      </c>
      <c r="D5" s="51">
        <v>30.7</v>
      </c>
      <c r="E5" s="50">
        <v>480</v>
      </c>
      <c r="F5" s="228">
        <f>ROUND(E5/16.3,1)</f>
        <v>29.4</v>
      </c>
      <c r="G5" s="50">
        <v>440</v>
      </c>
      <c r="H5" s="228">
        <f>ROUND(G5/16.3,1)</f>
        <v>27</v>
      </c>
      <c r="I5" s="50">
        <v>430</v>
      </c>
      <c r="J5" s="228">
        <f>ROUND(I5/16.3,1)</f>
        <v>26.4</v>
      </c>
      <c r="K5" s="50">
        <v>426</v>
      </c>
      <c r="L5" s="228">
        <f>ROUND(K5/16.3,1)</f>
        <v>26.1</v>
      </c>
      <c r="M5" s="47"/>
      <c r="N5" s="47"/>
      <c r="O5" s="47"/>
    </row>
    <row r="6" spans="1:15" ht="23.25">
      <c r="A6" s="7">
        <v>1</v>
      </c>
      <c r="B6" s="49" t="s">
        <v>10</v>
      </c>
      <c r="C6" s="52">
        <v>0</v>
      </c>
      <c r="D6" s="53">
        <v>0</v>
      </c>
      <c r="E6" s="52">
        <v>0</v>
      </c>
      <c r="F6" s="229">
        <v>0</v>
      </c>
      <c r="G6" s="52">
        <v>0</v>
      </c>
      <c r="H6" s="229">
        <v>0</v>
      </c>
      <c r="I6" s="52">
        <v>0</v>
      </c>
      <c r="J6" s="229">
        <v>0</v>
      </c>
      <c r="K6" s="52">
        <v>0</v>
      </c>
      <c r="L6" s="229">
        <v>0</v>
      </c>
      <c r="M6" s="47"/>
      <c r="N6" s="47"/>
      <c r="O6" s="47"/>
    </row>
    <row r="7" spans="1:15" ht="23.25">
      <c r="A7" s="8"/>
      <c r="B7" s="49" t="s">
        <v>11</v>
      </c>
      <c r="C7" s="52">
        <v>400</v>
      </c>
      <c r="D7" s="53">
        <v>0</v>
      </c>
      <c r="E7" s="52">
        <v>385</v>
      </c>
      <c r="F7" s="229">
        <v>0</v>
      </c>
      <c r="G7" s="52">
        <v>390</v>
      </c>
      <c r="H7" s="229">
        <v>0</v>
      </c>
      <c r="I7" s="52">
        <v>350</v>
      </c>
      <c r="J7" s="229">
        <v>0</v>
      </c>
      <c r="K7" s="52">
        <v>350</v>
      </c>
      <c r="L7" s="229">
        <v>0</v>
      </c>
      <c r="M7" s="47"/>
      <c r="N7" s="47"/>
      <c r="O7" s="47"/>
    </row>
    <row r="8" spans="1:15" ht="23.25">
      <c r="A8" s="8"/>
      <c r="B8" s="49" t="s">
        <v>12</v>
      </c>
      <c r="C8" s="52">
        <v>100</v>
      </c>
      <c r="D8" s="53">
        <v>3.5</v>
      </c>
      <c r="E8" s="52">
        <v>90</v>
      </c>
      <c r="F8" s="229">
        <f>ROUND(E8/28.42,1)</f>
        <v>3.2</v>
      </c>
      <c r="G8" s="52">
        <v>95</v>
      </c>
      <c r="H8" s="229">
        <f>ROUND(G8/28.42,1)</f>
        <v>3.3</v>
      </c>
      <c r="I8" s="52">
        <v>84</v>
      </c>
      <c r="J8" s="229">
        <f>ROUND(I8/28.42,1)</f>
        <v>3</v>
      </c>
      <c r="K8" s="52">
        <v>84</v>
      </c>
      <c r="L8" s="229">
        <f>ROUND(K8/28.42,1)</f>
        <v>3</v>
      </c>
      <c r="M8" s="47"/>
      <c r="N8" s="47"/>
      <c r="O8" s="47"/>
    </row>
    <row r="9" spans="1:15" ht="23.25">
      <c r="A9" s="8"/>
      <c r="B9" s="49" t="s">
        <v>13</v>
      </c>
      <c r="C9" s="52">
        <v>0</v>
      </c>
      <c r="D9" s="53">
        <v>0</v>
      </c>
      <c r="E9" s="52">
        <v>0</v>
      </c>
      <c r="F9" s="229">
        <v>0</v>
      </c>
      <c r="G9" s="52">
        <v>0</v>
      </c>
      <c r="H9" s="229">
        <v>0</v>
      </c>
      <c r="I9" s="52">
        <v>0</v>
      </c>
      <c r="J9" s="229">
        <v>0</v>
      </c>
      <c r="K9" s="52">
        <v>0</v>
      </c>
      <c r="L9" s="229">
        <v>0</v>
      </c>
      <c r="M9" s="47"/>
      <c r="N9" s="47"/>
      <c r="O9" s="47"/>
    </row>
    <row r="10" spans="1:15" ht="26.25" thickBot="1">
      <c r="A10" s="8"/>
      <c r="B10" s="54" t="s">
        <v>14</v>
      </c>
      <c r="C10" s="162">
        <f aca="true" t="shared" si="0" ref="C10:H10">SUM(C5:C9)</f>
        <v>1000</v>
      </c>
      <c r="D10" s="163">
        <f t="shared" si="0"/>
        <v>34.2</v>
      </c>
      <c r="E10" s="162">
        <f t="shared" si="0"/>
        <v>955</v>
      </c>
      <c r="F10" s="163">
        <f t="shared" si="0"/>
        <v>32.6</v>
      </c>
      <c r="G10" s="162">
        <f t="shared" si="0"/>
        <v>925</v>
      </c>
      <c r="H10" s="163">
        <f t="shared" si="0"/>
        <v>30.3</v>
      </c>
      <c r="I10" s="162">
        <f>SUM(I5:I9)</f>
        <v>864</v>
      </c>
      <c r="J10" s="163">
        <f>SUM(J5:J9)</f>
        <v>29.4</v>
      </c>
      <c r="K10" s="162">
        <f>SUM(K5:K9)</f>
        <v>860</v>
      </c>
      <c r="L10" s="163">
        <f>SUM(L5:L9)</f>
        <v>29.1</v>
      </c>
      <c r="M10" s="47"/>
      <c r="N10" s="55"/>
      <c r="O10" s="47"/>
    </row>
    <row r="11" spans="1:19" ht="21" thickBot="1">
      <c r="A11" s="8"/>
      <c r="B11" s="9"/>
      <c r="C11" s="10" t="s">
        <v>15</v>
      </c>
      <c r="D11" s="10" t="s">
        <v>16</v>
      </c>
      <c r="E11" s="56"/>
      <c r="F11" s="11"/>
      <c r="G11" s="12" t="s">
        <v>17</v>
      </c>
      <c r="H11" s="11"/>
      <c r="I11" s="11"/>
      <c r="J11" s="11"/>
      <c r="K11" s="11"/>
      <c r="L11" s="11"/>
      <c r="M11" s="11"/>
      <c r="N11" s="11"/>
      <c r="O11" s="13"/>
      <c r="P11" s="10" t="s">
        <v>18</v>
      </c>
      <c r="Q11" s="14" t="s">
        <v>19</v>
      </c>
      <c r="R11" s="14" t="s">
        <v>20</v>
      </c>
      <c r="S11" s="14"/>
    </row>
    <row r="12" spans="1:19" ht="20.25">
      <c r="A12" s="8"/>
      <c r="B12" s="15"/>
      <c r="C12" s="16" t="s">
        <v>21</v>
      </c>
      <c r="D12" s="16" t="s">
        <v>22</v>
      </c>
      <c r="E12" s="10" t="s">
        <v>23</v>
      </c>
      <c r="F12" s="16" t="s">
        <v>24</v>
      </c>
      <c r="G12" s="10" t="s">
        <v>25</v>
      </c>
      <c r="H12" s="16" t="s">
        <v>26</v>
      </c>
      <c r="I12" s="16" t="s">
        <v>27</v>
      </c>
      <c r="J12" s="16" t="s">
        <v>28</v>
      </c>
      <c r="K12" s="16" t="s">
        <v>29</v>
      </c>
      <c r="L12" s="16" t="s">
        <v>30</v>
      </c>
      <c r="M12" s="16" t="s">
        <v>31</v>
      </c>
      <c r="N12" s="16" t="s">
        <v>32</v>
      </c>
      <c r="O12" s="10" t="s">
        <v>33</v>
      </c>
      <c r="P12" s="16" t="s">
        <v>34</v>
      </c>
      <c r="Q12" s="17" t="s">
        <v>35</v>
      </c>
      <c r="R12" s="17" t="s">
        <v>19</v>
      </c>
      <c r="S12" s="17" t="s">
        <v>19</v>
      </c>
    </row>
    <row r="13" spans="1:19" ht="20.25">
      <c r="A13" s="8"/>
      <c r="B13" s="18"/>
      <c r="C13" s="16" t="s">
        <v>36</v>
      </c>
      <c r="D13" s="16" t="s">
        <v>37</v>
      </c>
      <c r="E13" s="16" t="s">
        <v>38</v>
      </c>
      <c r="F13" s="16" t="s">
        <v>39</v>
      </c>
      <c r="G13" s="16" t="s">
        <v>40</v>
      </c>
      <c r="H13" s="16" t="s">
        <v>41</v>
      </c>
      <c r="I13" s="16" t="s">
        <v>42</v>
      </c>
      <c r="J13" s="16" t="s">
        <v>43</v>
      </c>
      <c r="K13" s="16" t="s">
        <v>44</v>
      </c>
      <c r="L13" s="16" t="s">
        <v>45</v>
      </c>
      <c r="M13" s="16" t="s">
        <v>41</v>
      </c>
      <c r="N13" s="16"/>
      <c r="O13" s="16" t="s">
        <v>45</v>
      </c>
      <c r="P13" s="16" t="s">
        <v>46</v>
      </c>
      <c r="Q13" s="17"/>
      <c r="R13" s="17" t="s">
        <v>47</v>
      </c>
      <c r="S13" s="17" t="s">
        <v>48</v>
      </c>
    </row>
    <row r="14" spans="1:19" ht="21" thickBot="1">
      <c r="A14" s="8"/>
      <c r="B14" s="19"/>
      <c r="C14" s="20" t="s">
        <v>49</v>
      </c>
      <c r="D14" s="20" t="s">
        <v>50</v>
      </c>
      <c r="E14" s="20"/>
      <c r="F14" s="20"/>
      <c r="G14" s="20"/>
      <c r="H14" s="20"/>
      <c r="I14" s="20"/>
      <c r="J14" s="20"/>
      <c r="K14" s="20" t="s">
        <v>51</v>
      </c>
      <c r="L14" s="20" t="s">
        <v>39</v>
      </c>
      <c r="M14" s="20"/>
      <c r="N14" s="20"/>
      <c r="O14" s="20" t="s">
        <v>39</v>
      </c>
      <c r="P14" s="20" t="s">
        <v>52</v>
      </c>
      <c r="Q14" s="21" t="s">
        <v>53</v>
      </c>
      <c r="R14" s="21" t="s">
        <v>53</v>
      </c>
      <c r="S14" s="21" t="s">
        <v>53</v>
      </c>
    </row>
    <row r="15" spans="1:19" ht="21" thickBot="1">
      <c r="A15" s="22"/>
      <c r="B15" s="23"/>
      <c r="C15" s="24" t="s">
        <v>54</v>
      </c>
      <c r="D15" s="24" t="s">
        <v>55</v>
      </c>
      <c r="E15" s="24" t="s">
        <v>56</v>
      </c>
      <c r="F15" s="24" t="s">
        <v>57</v>
      </c>
      <c r="G15" s="24" t="s">
        <v>58</v>
      </c>
      <c r="H15" s="24" t="s">
        <v>59</v>
      </c>
      <c r="I15" s="24" t="s">
        <v>60</v>
      </c>
      <c r="J15" s="24" t="s">
        <v>61</v>
      </c>
      <c r="K15" s="24" t="s">
        <v>62</v>
      </c>
      <c r="L15" s="25" t="s">
        <v>63</v>
      </c>
      <c r="M15" s="24" t="s">
        <v>64</v>
      </c>
      <c r="N15" s="24" t="s">
        <v>65</v>
      </c>
      <c r="O15" s="24" t="s">
        <v>66</v>
      </c>
      <c r="P15" s="26" t="s">
        <v>67</v>
      </c>
      <c r="Q15" s="27"/>
      <c r="R15" s="28"/>
      <c r="S15" s="16" t="s">
        <v>68</v>
      </c>
    </row>
    <row r="16" spans="1:19" ht="20.25">
      <c r="A16" s="29"/>
      <c r="B16" s="30" t="s">
        <v>92</v>
      </c>
      <c r="C16" s="57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58"/>
      <c r="Q16" s="59"/>
      <c r="R16" s="60"/>
      <c r="S16" s="61"/>
    </row>
    <row r="17" spans="1:19" ht="20.25">
      <c r="A17" s="7">
        <v>2</v>
      </c>
      <c r="B17" s="33" t="s">
        <v>69</v>
      </c>
      <c r="C17" s="63">
        <v>32.5</v>
      </c>
      <c r="D17" s="64">
        <f>L17+O17</f>
        <v>17236</v>
      </c>
      <c r="E17" s="65">
        <v>10600</v>
      </c>
      <c r="F17" s="65">
        <v>2737</v>
      </c>
      <c r="G17" s="65">
        <v>300</v>
      </c>
      <c r="H17" s="65">
        <v>342</v>
      </c>
      <c r="I17" s="65">
        <v>1100</v>
      </c>
      <c r="J17" s="65">
        <v>324</v>
      </c>
      <c r="K17" s="66">
        <v>8</v>
      </c>
      <c r="L17" s="67">
        <f>SUM(E17:K17)</f>
        <v>15411</v>
      </c>
      <c r="M17" s="68">
        <v>1460</v>
      </c>
      <c r="N17" s="68">
        <v>365</v>
      </c>
      <c r="O17" s="67">
        <f>M17+N17</f>
        <v>1825</v>
      </c>
      <c r="P17" s="69">
        <f>O17/E17*100</f>
        <v>17.21698113207547</v>
      </c>
      <c r="Q17" s="70">
        <f>R17+S17</f>
        <v>6822</v>
      </c>
      <c r="R17" s="71">
        <v>100</v>
      </c>
      <c r="S17" s="72">
        <f>ROUND(((O17+L17)*12*C17)/1000,0)</f>
        <v>6722</v>
      </c>
    </row>
    <row r="18" spans="1:19" ht="21" thickBot="1">
      <c r="A18" s="7"/>
      <c r="B18" s="33" t="s">
        <v>93</v>
      </c>
      <c r="C18" s="73"/>
      <c r="D18" s="74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6"/>
      <c r="Q18" s="77"/>
      <c r="R18" s="78"/>
      <c r="S18" s="79"/>
    </row>
    <row r="19" spans="1:19" ht="21" thickBot="1">
      <c r="A19" s="29">
        <v>3</v>
      </c>
      <c r="B19" s="237" t="s">
        <v>88</v>
      </c>
      <c r="C19" s="80">
        <f>C17</f>
        <v>32.5</v>
      </c>
      <c r="D19" s="81">
        <f>L19+O19</f>
        <v>1294.731954</v>
      </c>
      <c r="E19" s="82">
        <v>1098</v>
      </c>
      <c r="F19" s="83">
        <f>SUM(E19*0.1536)</f>
        <v>168.65279999999998</v>
      </c>
      <c r="G19" s="83">
        <v>0</v>
      </c>
      <c r="H19" s="84">
        <v>0</v>
      </c>
      <c r="I19" s="83">
        <v>0</v>
      </c>
      <c r="J19" s="83">
        <f>SUM(E19*0.025573)</f>
        <v>28.079154</v>
      </c>
      <c r="K19" s="83">
        <v>0</v>
      </c>
      <c r="L19" s="85">
        <f>SUM(E19:K19)</f>
        <v>1294.731954</v>
      </c>
      <c r="M19" s="83">
        <v>0</v>
      </c>
      <c r="N19" s="84">
        <v>0</v>
      </c>
      <c r="O19" s="81">
        <f>M19+N19</f>
        <v>0</v>
      </c>
      <c r="P19" s="86" t="s">
        <v>70</v>
      </c>
      <c r="Q19" s="70">
        <f>R19+S19</f>
        <v>505</v>
      </c>
      <c r="R19" s="87">
        <v>0</v>
      </c>
      <c r="S19" s="72">
        <f>ROUND(((O19+L19)*12*C19)/1000,0)</f>
        <v>505</v>
      </c>
    </row>
    <row r="20" spans="1:19" ht="21" thickBot="1">
      <c r="A20" s="34"/>
      <c r="B20" s="238"/>
      <c r="C20" s="88"/>
      <c r="D20" s="89"/>
      <c r="E20" s="90"/>
      <c r="F20" s="83"/>
      <c r="G20" s="91"/>
      <c r="H20" s="92"/>
      <c r="I20" s="91"/>
      <c r="J20" s="93"/>
      <c r="K20" s="91"/>
      <c r="L20" s="85">
        <f>SUM(E20:K20)</f>
        <v>0</v>
      </c>
      <c r="M20" s="91"/>
      <c r="N20" s="92"/>
      <c r="O20" s="81"/>
      <c r="P20" s="94"/>
      <c r="Q20" s="95"/>
      <c r="R20" s="96"/>
      <c r="S20" s="97"/>
    </row>
    <row r="21" spans="1:19" ht="21" thickBot="1">
      <c r="A21" s="29">
        <v>4</v>
      </c>
      <c r="B21" s="39" t="s">
        <v>71</v>
      </c>
      <c r="C21" s="80">
        <f>C17</f>
        <v>32.5</v>
      </c>
      <c r="D21" s="81">
        <f>L21+O21</f>
        <v>-1268.96</v>
      </c>
      <c r="E21" s="98"/>
      <c r="F21" s="83">
        <f>SUM(I21*0.1536)</f>
        <v>-168.95999999999998</v>
      </c>
      <c r="G21" s="83">
        <v>0</v>
      </c>
      <c r="H21" s="84">
        <v>0</v>
      </c>
      <c r="I21" s="83">
        <f>SUM(-I17)</f>
        <v>-1100</v>
      </c>
      <c r="J21" s="98"/>
      <c r="K21" s="83"/>
      <c r="L21" s="85">
        <f>SUM(E21:K21)</f>
        <v>-1268.96</v>
      </c>
      <c r="M21" s="83"/>
      <c r="N21" s="84"/>
      <c r="O21" s="81">
        <f>M21+N21</f>
        <v>0</v>
      </c>
      <c r="P21" s="86" t="s">
        <v>70</v>
      </c>
      <c r="Q21" s="70">
        <f>R21+S21</f>
        <v>-495</v>
      </c>
      <c r="R21" s="87">
        <v>0</v>
      </c>
      <c r="S21" s="72">
        <f>ROUND(((O21+L21)*12*C21)/1000,0)</f>
        <v>-495</v>
      </c>
    </row>
    <row r="22" spans="1:19" ht="21" thickBot="1">
      <c r="A22" s="34"/>
      <c r="B22" s="40"/>
      <c r="C22" s="99"/>
      <c r="D22" s="89"/>
      <c r="E22" s="90"/>
      <c r="F22" s="93"/>
      <c r="G22" s="91"/>
      <c r="H22" s="92"/>
      <c r="I22" s="91"/>
      <c r="J22" s="93"/>
      <c r="K22" s="91"/>
      <c r="L22" s="93"/>
      <c r="M22" s="91"/>
      <c r="N22" s="92"/>
      <c r="O22" s="91"/>
      <c r="P22" s="94"/>
      <c r="Q22" s="95"/>
      <c r="R22" s="96"/>
      <c r="S22" s="97"/>
    </row>
    <row r="23" spans="1:19" ht="20.25">
      <c r="A23" s="7">
        <v>5</v>
      </c>
      <c r="B23" s="237" t="s">
        <v>94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100"/>
      <c r="Q23" s="77"/>
      <c r="R23" s="78"/>
      <c r="S23" s="79"/>
    </row>
    <row r="24" spans="1:19" ht="21" thickBot="1">
      <c r="A24" s="7"/>
      <c r="B24" s="238"/>
      <c r="C24" s="101">
        <f>C17</f>
        <v>32.5</v>
      </c>
      <c r="D24" s="81">
        <f>L24+O24</f>
        <v>17261.771954</v>
      </c>
      <c r="E24" s="85">
        <f>E17+E19+E21</f>
        <v>11698</v>
      </c>
      <c r="F24" s="85">
        <f aca="true" t="shared" si="1" ref="F24:K24">F17+F19+F21</f>
        <v>2736.6928</v>
      </c>
      <c r="G24" s="85">
        <f t="shared" si="1"/>
        <v>300</v>
      </c>
      <c r="H24" s="85">
        <f t="shared" si="1"/>
        <v>342</v>
      </c>
      <c r="I24" s="85">
        <f t="shared" si="1"/>
        <v>0</v>
      </c>
      <c r="J24" s="85">
        <f t="shared" si="1"/>
        <v>352.079154</v>
      </c>
      <c r="K24" s="85">
        <f t="shared" si="1"/>
        <v>8</v>
      </c>
      <c r="L24" s="85">
        <f>SUM(E24:K24)</f>
        <v>15436.771954</v>
      </c>
      <c r="M24" s="85">
        <f>M17</f>
        <v>1460</v>
      </c>
      <c r="N24" s="85">
        <f>N17</f>
        <v>365</v>
      </c>
      <c r="O24" s="81">
        <f>M24+N24</f>
        <v>1825</v>
      </c>
      <c r="P24" s="102">
        <f>O24/E24*100</f>
        <v>15.600957428620276</v>
      </c>
      <c r="Q24" s="103">
        <f>R24+S24</f>
        <v>6832</v>
      </c>
      <c r="R24" s="85">
        <f>R17</f>
        <v>100</v>
      </c>
      <c r="S24" s="104">
        <f>ROUND(((O24+L24)*12*C24)/1000,0)</f>
        <v>6732</v>
      </c>
    </row>
    <row r="25" spans="1:19" ht="20.25">
      <c r="A25" s="29">
        <v>6</v>
      </c>
      <c r="B25" s="237" t="s">
        <v>96</v>
      </c>
      <c r="C25" s="105"/>
      <c r="D25" s="106"/>
      <c r="E25" s="106"/>
      <c r="F25" s="106"/>
      <c r="G25" s="107"/>
      <c r="H25" s="106"/>
      <c r="I25" s="106"/>
      <c r="J25" s="106"/>
      <c r="K25" s="106"/>
      <c r="L25" s="106"/>
      <c r="M25" s="106"/>
      <c r="N25" s="106"/>
      <c r="O25" s="106"/>
      <c r="P25" s="108"/>
      <c r="Q25" s="109"/>
      <c r="R25" s="110"/>
      <c r="S25" s="111"/>
    </row>
    <row r="26" spans="1:19" ht="21" thickBot="1">
      <c r="A26" s="7"/>
      <c r="B26" s="239"/>
      <c r="C26" s="112">
        <f>SUM(J10-H10)</f>
        <v>-0.9000000000000021</v>
      </c>
      <c r="D26" s="113"/>
      <c r="E26" s="113"/>
      <c r="F26" s="113"/>
      <c r="G26" s="114"/>
      <c r="H26" s="113"/>
      <c r="I26" s="113"/>
      <c r="J26" s="113"/>
      <c r="K26" s="113"/>
      <c r="L26" s="113"/>
      <c r="M26" s="113"/>
      <c r="N26" s="113"/>
      <c r="O26" s="113"/>
      <c r="P26" s="115"/>
      <c r="Q26" s="116"/>
      <c r="R26" s="117"/>
      <c r="S26" s="118"/>
    </row>
    <row r="27" spans="1:19" ht="21" thickBot="1">
      <c r="A27" s="7"/>
      <c r="B27" s="35" t="s">
        <v>95</v>
      </c>
      <c r="C27" s="119">
        <f>(C26/3)*2</f>
        <v>-0.6000000000000014</v>
      </c>
      <c r="D27" s="120"/>
      <c r="E27" s="121"/>
      <c r="F27" s="120"/>
      <c r="G27" s="122"/>
      <c r="H27" s="120"/>
      <c r="I27" s="120"/>
      <c r="J27" s="120"/>
      <c r="K27" s="120"/>
      <c r="L27" s="120"/>
      <c r="M27" s="120"/>
      <c r="N27" s="120"/>
      <c r="O27" s="120"/>
      <c r="P27" s="123"/>
      <c r="Q27" s="124"/>
      <c r="R27" s="125"/>
      <c r="S27" s="111"/>
    </row>
    <row r="28" spans="1:19" ht="21" thickBot="1">
      <c r="A28" s="29">
        <v>7</v>
      </c>
      <c r="B28" s="237" t="s">
        <v>96</v>
      </c>
      <c r="C28" s="126"/>
      <c r="D28" s="113"/>
      <c r="E28" s="113"/>
      <c r="F28" s="113"/>
      <c r="G28" s="114"/>
      <c r="H28" s="113"/>
      <c r="I28" s="113"/>
      <c r="J28" s="113"/>
      <c r="K28" s="113"/>
      <c r="L28" s="113"/>
      <c r="M28" s="113"/>
      <c r="N28" s="113"/>
      <c r="O28" s="113"/>
      <c r="P28" s="115"/>
      <c r="Q28" s="127"/>
      <c r="R28" s="128"/>
      <c r="S28" s="129"/>
    </row>
    <row r="29" spans="1:19" ht="21" thickBot="1">
      <c r="A29" s="7"/>
      <c r="B29" s="239"/>
      <c r="C29" s="112">
        <f>SUM(L10-J10)</f>
        <v>-0.29999999999999716</v>
      </c>
      <c r="D29" s="113"/>
      <c r="E29" s="113"/>
      <c r="F29" s="113"/>
      <c r="G29" s="114"/>
      <c r="H29" s="113"/>
      <c r="I29" s="113"/>
      <c r="J29" s="113"/>
      <c r="K29" s="113"/>
      <c r="L29" s="113"/>
      <c r="M29" s="113"/>
      <c r="N29" s="113"/>
      <c r="O29" s="113"/>
      <c r="P29" s="115"/>
      <c r="Q29" s="127"/>
      <c r="R29" s="128"/>
      <c r="S29" s="129"/>
    </row>
    <row r="30" spans="1:19" ht="21" thickBot="1">
      <c r="A30" s="34"/>
      <c r="B30" s="35" t="s">
        <v>95</v>
      </c>
      <c r="C30" s="130">
        <f>C29/3</f>
        <v>-0.09999999999999905</v>
      </c>
      <c r="D30" s="120"/>
      <c r="E30" s="121"/>
      <c r="F30" s="120"/>
      <c r="G30" s="122"/>
      <c r="H30" s="120"/>
      <c r="I30" s="120"/>
      <c r="J30" s="120"/>
      <c r="K30" s="120"/>
      <c r="L30" s="120"/>
      <c r="M30" s="120"/>
      <c r="N30" s="120"/>
      <c r="O30" s="120"/>
      <c r="P30" s="123"/>
      <c r="Q30" s="124"/>
      <c r="R30" s="125"/>
      <c r="S30" s="111"/>
    </row>
    <row r="31" spans="1:19" ht="20.25">
      <c r="A31" s="29"/>
      <c r="B31" s="33" t="s">
        <v>97</v>
      </c>
      <c r="C31" s="75"/>
      <c r="D31" s="83"/>
      <c r="E31" s="83"/>
      <c r="F31" s="83"/>
      <c r="G31" s="83"/>
      <c r="H31" s="83"/>
      <c r="I31" s="83"/>
      <c r="J31" s="83"/>
      <c r="K31" s="83"/>
      <c r="L31" s="131"/>
      <c r="M31" s="83"/>
      <c r="N31" s="83"/>
      <c r="O31" s="83"/>
      <c r="P31" s="132"/>
      <c r="Q31" s="133"/>
      <c r="R31" s="134"/>
      <c r="S31" s="135"/>
    </row>
    <row r="32" spans="1:19" ht="20.25">
      <c r="A32" s="7">
        <v>8</v>
      </c>
      <c r="B32" s="33" t="s">
        <v>98</v>
      </c>
      <c r="C32" s="75"/>
      <c r="D32" s="75"/>
      <c r="E32" s="75"/>
      <c r="F32" s="75"/>
      <c r="G32" s="75"/>
      <c r="H32" s="75"/>
      <c r="I32" s="75"/>
      <c r="J32" s="75"/>
      <c r="K32" s="75"/>
      <c r="L32" s="136"/>
      <c r="M32" s="75"/>
      <c r="N32" s="75"/>
      <c r="O32" s="75"/>
      <c r="P32" s="76"/>
      <c r="Q32" s="77"/>
      <c r="R32" s="78"/>
      <c r="S32" s="137"/>
    </row>
    <row r="33" spans="1:19" ht="20.25">
      <c r="A33" s="7"/>
      <c r="B33" s="33" t="s">
        <v>72</v>
      </c>
      <c r="C33" s="138">
        <f>C17+C27+C30</f>
        <v>31.8</v>
      </c>
      <c r="D33" s="67">
        <f>L33+O33</f>
        <v>17261.771954</v>
      </c>
      <c r="E33" s="74">
        <f>E24</f>
        <v>11698</v>
      </c>
      <c r="F33" s="74">
        <f aca="true" t="shared" si="2" ref="F33:N33">F24</f>
        <v>2736.6928</v>
      </c>
      <c r="G33" s="74">
        <f t="shared" si="2"/>
        <v>300</v>
      </c>
      <c r="H33" s="74">
        <f t="shared" si="2"/>
        <v>342</v>
      </c>
      <c r="I33" s="74">
        <f t="shared" si="2"/>
        <v>0</v>
      </c>
      <c r="J33" s="74">
        <f t="shared" si="2"/>
        <v>352.079154</v>
      </c>
      <c r="K33" s="74">
        <f t="shared" si="2"/>
        <v>8</v>
      </c>
      <c r="L33" s="67">
        <f>SUM(E33:K33)</f>
        <v>15436.771954</v>
      </c>
      <c r="M33" s="74">
        <f t="shared" si="2"/>
        <v>1460</v>
      </c>
      <c r="N33" s="74">
        <f t="shared" si="2"/>
        <v>365</v>
      </c>
      <c r="O33" s="67">
        <f>N33+M33</f>
        <v>1825</v>
      </c>
      <c r="P33" s="76">
        <f>O33/E33*100</f>
        <v>15.600957428620276</v>
      </c>
      <c r="Q33" s="139">
        <f>R33+S33</f>
        <v>6687.0921776464</v>
      </c>
      <c r="R33" s="74">
        <f>R24</f>
        <v>100</v>
      </c>
      <c r="S33" s="139">
        <f>D33*12*C33/1000</f>
        <v>6587.0921776464</v>
      </c>
    </row>
    <row r="34" spans="1:19" ht="21" thickBot="1">
      <c r="A34" s="34"/>
      <c r="B34" s="36" t="s">
        <v>99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140"/>
      <c r="Q34" s="141"/>
      <c r="R34" s="142"/>
      <c r="S34" s="143"/>
    </row>
    <row r="35" spans="1:19" ht="20.25">
      <c r="A35" s="6"/>
      <c r="B35" s="37" t="s">
        <v>103</v>
      </c>
      <c r="C35" s="144">
        <f>C33</f>
        <v>31.8</v>
      </c>
      <c r="D35" s="145"/>
      <c r="E35" s="88"/>
      <c r="F35" s="145"/>
      <c r="G35" s="88"/>
      <c r="H35" s="145"/>
      <c r="I35" s="88"/>
      <c r="J35" s="145"/>
      <c r="K35" s="88"/>
      <c r="L35" s="145"/>
      <c r="M35" s="146"/>
      <c r="N35" s="145"/>
      <c r="O35" s="88">
        <f>O33</f>
        <v>1825</v>
      </c>
      <c r="P35" s="147"/>
      <c r="Q35" s="148">
        <f>R35+S35</f>
        <v>696.42</v>
      </c>
      <c r="R35" s="149">
        <v>0</v>
      </c>
      <c r="S35" s="139">
        <f>O35*C36*12/1000</f>
        <v>696.42</v>
      </c>
    </row>
    <row r="36" spans="1:19" ht="20.25">
      <c r="A36" s="8">
        <v>9</v>
      </c>
      <c r="B36" s="37" t="s">
        <v>73</v>
      </c>
      <c r="C36" s="144">
        <f>C33</f>
        <v>31.8</v>
      </c>
      <c r="D36" s="145"/>
      <c r="E36" s="88"/>
      <c r="F36" s="145"/>
      <c r="G36" s="88"/>
      <c r="H36" s="145"/>
      <c r="I36" s="88"/>
      <c r="J36" s="145"/>
      <c r="K36" s="88"/>
      <c r="L36" s="145"/>
      <c r="M36" s="73">
        <f>O33/100*80</f>
        <v>1460</v>
      </c>
      <c r="N36" s="149"/>
      <c r="O36" s="88"/>
      <c r="P36" s="147"/>
      <c r="Q36" s="150"/>
      <c r="R36" s="147"/>
      <c r="S36" s="139">
        <f>C36*M36*12/1000</f>
        <v>557.136</v>
      </c>
    </row>
    <row r="37" spans="1:19" ht="21" thickBot="1">
      <c r="A37" s="22"/>
      <c r="B37" s="38" t="s">
        <v>74</v>
      </c>
      <c r="C37" s="151">
        <f>C33</f>
        <v>31.8</v>
      </c>
      <c r="D37" s="152"/>
      <c r="E37" s="99"/>
      <c r="F37" s="152"/>
      <c r="G37" s="99"/>
      <c r="H37" s="152"/>
      <c r="I37" s="99"/>
      <c r="J37" s="152"/>
      <c r="K37" s="99"/>
      <c r="L37" s="152"/>
      <c r="M37" s="153"/>
      <c r="N37" s="92">
        <f>O33/100*20</f>
        <v>365</v>
      </c>
      <c r="O37" s="99"/>
      <c r="P37" s="94"/>
      <c r="Q37" s="154"/>
      <c r="R37" s="94"/>
      <c r="S37" s="143">
        <f>C37*N37*12/1000</f>
        <v>139.284</v>
      </c>
    </row>
    <row r="38" spans="1:7" ht="20.25">
      <c r="A38" s="232"/>
      <c r="B38" s="233" t="s">
        <v>91</v>
      </c>
      <c r="C38" s="234"/>
      <c r="D38" s="234"/>
      <c r="E38" s="234"/>
      <c r="F38" s="234"/>
      <c r="G38" s="234"/>
    </row>
  </sheetData>
  <mergeCells count="4">
    <mergeCell ref="B19:B20"/>
    <mergeCell ref="B23:B24"/>
    <mergeCell ref="B25:B26"/>
    <mergeCell ref="B28:B29"/>
  </mergeCells>
  <printOptions/>
  <pageMargins left="0.75" right="0.75" top="1" bottom="1" header="0.4921259845" footer="0.4921259845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T41"/>
  <sheetViews>
    <sheetView zoomScale="65" zoomScaleNormal="65" workbookViewId="0" topLeftCell="A1">
      <selection activeCell="C30" sqref="C30"/>
    </sheetView>
  </sheetViews>
  <sheetFormatPr defaultColWidth="9.00390625" defaultRowHeight="12.75"/>
  <cols>
    <col min="1" max="1" width="9.125" style="42" customWidth="1"/>
    <col min="2" max="2" width="53.125" style="42" customWidth="1"/>
    <col min="3" max="3" width="14.625" style="42" customWidth="1"/>
    <col min="4" max="4" width="16.25390625" style="42" bestFit="1" customWidth="1"/>
    <col min="5" max="5" width="15.375" style="42" bestFit="1" customWidth="1"/>
    <col min="6" max="6" width="16.25390625" style="42" bestFit="1" customWidth="1"/>
    <col min="7" max="7" width="15.625" style="42" customWidth="1"/>
    <col min="8" max="8" width="16.25390625" style="42" customWidth="1"/>
    <col min="9" max="10" width="16.75390625" style="42" customWidth="1"/>
    <col min="11" max="11" width="13.875" style="42" customWidth="1"/>
    <col min="12" max="12" width="16.875" style="42" customWidth="1"/>
    <col min="13" max="14" width="9.125" style="42" customWidth="1"/>
    <col min="15" max="15" width="11.25390625" style="42" bestFit="1" customWidth="1"/>
    <col min="16" max="16" width="15.75390625" style="42" bestFit="1" customWidth="1"/>
    <col min="17" max="17" width="12.75390625" style="42" customWidth="1"/>
    <col min="18" max="18" width="12.25390625" style="42" bestFit="1" customWidth="1"/>
  </cols>
  <sheetData>
    <row r="1" spans="1:19" ht="20.25">
      <c r="A1" s="1"/>
      <c r="B1" s="41" t="s">
        <v>0</v>
      </c>
      <c r="D1" s="62" t="s">
        <v>1</v>
      </c>
      <c r="S1" s="43"/>
    </row>
    <row r="2" spans="1:19" ht="25.5">
      <c r="A2" s="1"/>
      <c r="B2" s="44"/>
      <c r="H2" s="45"/>
      <c r="S2" s="43"/>
    </row>
    <row r="3" spans="1:19" ht="24" thickBot="1">
      <c r="A3" s="1"/>
      <c r="B3" s="46" t="s">
        <v>101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S3" s="44"/>
    </row>
    <row r="4" spans="1:19" ht="105.75" thickBot="1">
      <c r="A4" s="3"/>
      <c r="B4" s="48"/>
      <c r="C4" s="4" t="s">
        <v>2</v>
      </c>
      <c r="D4" s="5" t="s">
        <v>76</v>
      </c>
      <c r="E4" s="4" t="s">
        <v>4</v>
      </c>
      <c r="F4" s="5" t="s">
        <v>90</v>
      </c>
      <c r="G4" s="4" t="s">
        <v>6</v>
      </c>
      <c r="H4" s="5" t="s">
        <v>85</v>
      </c>
      <c r="I4" s="4" t="s">
        <v>84</v>
      </c>
      <c r="J4" s="5" t="s">
        <v>8</v>
      </c>
      <c r="K4" s="4" t="s">
        <v>86</v>
      </c>
      <c r="L4" s="5" t="s">
        <v>87</v>
      </c>
      <c r="M4" s="47"/>
      <c r="N4" s="47"/>
      <c r="O4" s="47"/>
      <c r="S4" s="44"/>
    </row>
    <row r="5" spans="1:20" ht="23.25">
      <c r="A5" s="8"/>
      <c r="B5" s="49" t="s">
        <v>9</v>
      </c>
      <c r="C5" s="155">
        <f>PedZ!C5</f>
        <v>500</v>
      </c>
      <c r="D5" s="156">
        <f>ROUND(C5/64.14,1)</f>
        <v>7.8</v>
      </c>
      <c r="E5" s="155">
        <f>PedZ!E5</f>
        <v>480</v>
      </c>
      <c r="F5" s="230">
        <f>ROUND(E5/64.14,1)</f>
        <v>7.5</v>
      </c>
      <c r="G5" s="155">
        <f>PedZ!G5</f>
        <v>440</v>
      </c>
      <c r="H5" s="230">
        <f>ROUND(G5/64.14,1)</f>
        <v>6.9</v>
      </c>
      <c r="I5" s="155">
        <f>PedZ!I5</f>
        <v>430</v>
      </c>
      <c r="J5" s="230">
        <f>ROUND(I5/64.14,1)</f>
        <v>6.7</v>
      </c>
      <c r="K5" s="155">
        <f>PedZ!K5</f>
        <v>426</v>
      </c>
      <c r="L5" s="230">
        <f>ROUND(K5/64.14,1)</f>
        <v>6.6</v>
      </c>
      <c r="M5" s="157"/>
      <c r="N5" s="157"/>
      <c r="O5" s="157"/>
      <c r="P5" s="158"/>
      <c r="Q5" s="158"/>
      <c r="R5" s="158"/>
      <c r="S5" s="41"/>
      <c r="T5" s="159"/>
    </row>
    <row r="6" spans="1:20" ht="23.25">
      <c r="A6" s="8">
        <v>1</v>
      </c>
      <c r="B6" s="49" t="s">
        <v>10</v>
      </c>
      <c r="C6" s="160">
        <f>PedZ!C6</f>
        <v>0</v>
      </c>
      <c r="D6" s="161">
        <v>0</v>
      </c>
      <c r="E6" s="160">
        <f>PedZ!E6</f>
        <v>0</v>
      </c>
      <c r="F6" s="231">
        <v>0</v>
      </c>
      <c r="G6" s="160">
        <f>PedZ!G6</f>
        <v>0</v>
      </c>
      <c r="H6" s="231">
        <v>0</v>
      </c>
      <c r="I6" s="160">
        <f>PedZ!I6</f>
        <v>0</v>
      </c>
      <c r="J6" s="231">
        <v>0</v>
      </c>
      <c r="K6" s="160">
        <f>PedZ!K6</f>
        <v>0</v>
      </c>
      <c r="L6" s="231">
        <v>0</v>
      </c>
      <c r="M6" s="157"/>
      <c r="N6" s="157"/>
      <c r="O6" s="157"/>
      <c r="P6" s="158"/>
      <c r="Q6" s="158"/>
      <c r="R6" s="158"/>
      <c r="S6" s="41"/>
      <c r="T6" s="159"/>
    </row>
    <row r="7" spans="1:20" ht="23.25">
      <c r="A7" s="8"/>
      <c r="B7" s="49" t="s">
        <v>11</v>
      </c>
      <c r="C7" s="160">
        <f>PedZ!C7</f>
        <v>400</v>
      </c>
      <c r="D7" s="161">
        <f>ROUND(C7/56.26,1)</f>
        <v>7.1</v>
      </c>
      <c r="E7" s="160">
        <f>PedZ!E7</f>
        <v>385</v>
      </c>
      <c r="F7" s="231">
        <f>ROUND(E7/56.26,1)</f>
        <v>6.8</v>
      </c>
      <c r="G7" s="160">
        <f>PedZ!G7</f>
        <v>390</v>
      </c>
      <c r="H7" s="231">
        <f>ROUND(G7/56.26,1)</f>
        <v>6.9</v>
      </c>
      <c r="I7" s="160">
        <f>PedZ!I7</f>
        <v>350</v>
      </c>
      <c r="J7" s="231">
        <f>ROUND(I7/56.26,1)</f>
        <v>6.2</v>
      </c>
      <c r="K7" s="160">
        <f>PedZ!K7</f>
        <v>350</v>
      </c>
      <c r="L7" s="231">
        <f>ROUND(K7/56.26,1)</f>
        <v>6.2</v>
      </c>
      <c r="M7" s="157"/>
      <c r="N7" s="157"/>
      <c r="O7" s="157"/>
      <c r="P7" s="158"/>
      <c r="Q7" s="158"/>
      <c r="R7" s="158"/>
      <c r="S7" s="41"/>
      <c r="T7" s="159"/>
    </row>
    <row r="8" spans="1:20" ht="23.25">
      <c r="A8" s="8"/>
      <c r="B8" s="49" t="s">
        <v>12</v>
      </c>
      <c r="C8" s="160">
        <f>PedZ!C8</f>
        <v>100</v>
      </c>
      <c r="D8" s="161">
        <v>0</v>
      </c>
      <c r="E8" s="160">
        <f>PedZ!E8</f>
        <v>90</v>
      </c>
      <c r="F8" s="231">
        <v>0</v>
      </c>
      <c r="G8" s="160">
        <f>PedZ!G8</f>
        <v>95</v>
      </c>
      <c r="H8" s="231">
        <v>0</v>
      </c>
      <c r="I8" s="160">
        <f>PedZ!I8</f>
        <v>84</v>
      </c>
      <c r="J8" s="231">
        <v>0</v>
      </c>
      <c r="K8" s="160">
        <f>PedZ!K8</f>
        <v>84</v>
      </c>
      <c r="L8" s="231">
        <v>0</v>
      </c>
      <c r="M8" s="157"/>
      <c r="N8" s="157"/>
      <c r="O8" s="157"/>
      <c r="P8" s="158"/>
      <c r="Q8" s="158"/>
      <c r="R8" s="158"/>
      <c r="S8" s="41"/>
      <c r="T8" s="159"/>
    </row>
    <row r="9" spans="1:20" ht="23.25">
      <c r="A9" s="8"/>
      <c r="B9" s="49" t="s">
        <v>13</v>
      </c>
      <c r="C9" s="160">
        <f>PedZ!C9</f>
        <v>0</v>
      </c>
      <c r="D9" s="161">
        <v>0</v>
      </c>
      <c r="E9" s="160">
        <f>PedZ!E9</f>
        <v>0</v>
      </c>
      <c r="F9" s="231">
        <v>0</v>
      </c>
      <c r="G9" s="160">
        <f>PedZ!G9</f>
        <v>0</v>
      </c>
      <c r="H9" s="231">
        <v>0</v>
      </c>
      <c r="I9" s="160">
        <f>PedZ!I9</f>
        <v>0</v>
      </c>
      <c r="J9" s="231">
        <v>0</v>
      </c>
      <c r="K9" s="160">
        <f>PedZ!K9</f>
        <v>0</v>
      </c>
      <c r="L9" s="231">
        <v>0</v>
      </c>
      <c r="M9" s="157"/>
      <c r="N9" s="157"/>
      <c r="O9" s="157"/>
      <c r="P9" s="158"/>
      <c r="Q9" s="158"/>
      <c r="R9" s="158"/>
      <c r="S9" s="41"/>
      <c r="T9" s="159"/>
    </row>
    <row r="10" spans="1:20" ht="26.25" thickBot="1">
      <c r="A10" s="8"/>
      <c r="B10" s="54" t="s">
        <v>14</v>
      </c>
      <c r="C10" s="162">
        <f>PedZ!C10</f>
        <v>1000</v>
      </c>
      <c r="D10" s="163">
        <f>SUM(D5:D9)</f>
        <v>14.899999999999999</v>
      </c>
      <c r="E10" s="162">
        <f>PedZ!E10</f>
        <v>955</v>
      </c>
      <c r="F10" s="163">
        <f>SUM(F5:F9)</f>
        <v>14.3</v>
      </c>
      <c r="G10" s="162">
        <f>PedZ!G10</f>
        <v>925</v>
      </c>
      <c r="H10" s="163">
        <f>SUM(H5:H9)</f>
        <v>13.8</v>
      </c>
      <c r="I10" s="162">
        <f>PedZ!I10</f>
        <v>864</v>
      </c>
      <c r="J10" s="163">
        <f>SUM(J5:J9)</f>
        <v>12.9</v>
      </c>
      <c r="K10" s="162">
        <f>PedZ!K10</f>
        <v>860</v>
      </c>
      <c r="L10" s="163">
        <f>SUM(L5:L9)</f>
        <v>12.8</v>
      </c>
      <c r="M10" s="157"/>
      <c r="N10" s="164"/>
      <c r="O10" s="157"/>
      <c r="P10" s="158"/>
      <c r="Q10" s="158"/>
      <c r="R10" s="158"/>
      <c r="S10" s="41"/>
      <c r="T10" s="159"/>
    </row>
    <row r="11" spans="1:20" ht="21" thickBot="1">
      <c r="A11" s="8"/>
      <c r="B11" s="9"/>
      <c r="C11" s="165" t="s">
        <v>15</v>
      </c>
      <c r="D11" s="165" t="s">
        <v>16</v>
      </c>
      <c r="E11" s="166"/>
      <c r="F11" s="167"/>
      <c r="G11" s="168" t="s">
        <v>17</v>
      </c>
      <c r="H11" s="167"/>
      <c r="I11" s="167"/>
      <c r="J11" s="167"/>
      <c r="K11" s="167"/>
      <c r="L11" s="167"/>
      <c r="M11" s="167"/>
      <c r="N11" s="167"/>
      <c r="O11" s="169"/>
      <c r="P11" s="165" t="s">
        <v>18</v>
      </c>
      <c r="Q11" s="170" t="s">
        <v>19</v>
      </c>
      <c r="R11" s="165" t="s">
        <v>20</v>
      </c>
      <c r="S11" s="170"/>
      <c r="T11" s="159"/>
    </row>
    <row r="12" spans="1:20" ht="20.25">
      <c r="A12" s="8"/>
      <c r="B12" s="15"/>
      <c r="C12" s="171" t="s">
        <v>21</v>
      </c>
      <c r="D12" s="171" t="s">
        <v>22</v>
      </c>
      <c r="E12" s="165" t="s">
        <v>23</v>
      </c>
      <c r="F12" s="171" t="s">
        <v>24</v>
      </c>
      <c r="G12" s="165" t="s">
        <v>25</v>
      </c>
      <c r="H12" s="171" t="s">
        <v>26</v>
      </c>
      <c r="I12" s="171" t="s">
        <v>27</v>
      </c>
      <c r="J12" s="171" t="s">
        <v>28</v>
      </c>
      <c r="K12" s="171" t="s">
        <v>29</v>
      </c>
      <c r="L12" s="171" t="s">
        <v>30</v>
      </c>
      <c r="M12" s="171" t="s">
        <v>31</v>
      </c>
      <c r="N12" s="171" t="s">
        <v>32</v>
      </c>
      <c r="O12" s="165" t="s">
        <v>33</v>
      </c>
      <c r="P12" s="171" t="s">
        <v>34</v>
      </c>
      <c r="Q12" s="172" t="s">
        <v>35</v>
      </c>
      <c r="R12" s="173" t="s">
        <v>19</v>
      </c>
      <c r="S12" s="172" t="s">
        <v>19</v>
      </c>
      <c r="T12" s="159"/>
    </row>
    <row r="13" spans="1:20" ht="20.25">
      <c r="A13" s="8"/>
      <c r="B13" s="18"/>
      <c r="C13" s="171" t="s">
        <v>36</v>
      </c>
      <c r="D13" s="171" t="s">
        <v>37</v>
      </c>
      <c r="E13" s="171" t="s">
        <v>38</v>
      </c>
      <c r="F13" s="171" t="s">
        <v>39</v>
      </c>
      <c r="G13" s="171" t="s">
        <v>40</v>
      </c>
      <c r="H13" s="171" t="s">
        <v>41</v>
      </c>
      <c r="I13" s="171" t="s">
        <v>42</v>
      </c>
      <c r="J13" s="171" t="s">
        <v>43</v>
      </c>
      <c r="K13" s="171" t="s">
        <v>44</v>
      </c>
      <c r="L13" s="171" t="s">
        <v>45</v>
      </c>
      <c r="M13" s="171" t="s">
        <v>41</v>
      </c>
      <c r="N13" s="171"/>
      <c r="O13" s="171" t="s">
        <v>45</v>
      </c>
      <c r="P13" s="171" t="s">
        <v>46</v>
      </c>
      <c r="Q13" s="172"/>
      <c r="R13" s="173" t="s">
        <v>47</v>
      </c>
      <c r="S13" s="172" t="s">
        <v>48</v>
      </c>
      <c r="T13" s="159"/>
    </row>
    <row r="14" spans="1:20" ht="21" thickBot="1">
      <c r="A14" s="8"/>
      <c r="B14" s="19"/>
      <c r="C14" s="174" t="s">
        <v>49</v>
      </c>
      <c r="D14" s="174" t="s">
        <v>50</v>
      </c>
      <c r="E14" s="174"/>
      <c r="F14" s="174"/>
      <c r="G14" s="174"/>
      <c r="H14" s="174"/>
      <c r="I14" s="174"/>
      <c r="J14" s="174"/>
      <c r="K14" s="174" t="s">
        <v>51</v>
      </c>
      <c r="L14" s="174" t="s">
        <v>39</v>
      </c>
      <c r="M14" s="174"/>
      <c r="N14" s="174"/>
      <c r="O14" s="174" t="s">
        <v>39</v>
      </c>
      <c r="P14" s="174" t="s">
        <v>52</v>
      </c>
      <c r="Q14" s="175" t="s">
        <v>53</v>
      </c>
      <c r="R14" s="176" t="s">
        <v>53</v>
      </c>
      <c r="S14" s="175" t="s">
        <v>53</v>
      </c>
      <c r="T14" s="159"/>
    </row>
    <row r="15" spans="1:20" ht="21" thickBot="1">
      <c r="A15" s="22"/>
      <c r="B15" s="23"/>
      <c r="C15" s="177" t="s">
        <v>54</v>
      </c>
      <c r="D15" s="177" t="s">
        <v>55</v>
      </c>
      <c r="E15" s="177" t="s">
        <v>56</v>
      </c>
      <c r="F15" s="177" t="s">
        <v>57</v>
      </c>
      <c r="G15" s="177" t="s">
        <v>58</v>
      </c>
      <c r="H15" s="177" t="s">
        <v>59</v>
      </c>
      <c r="I15" s="177" t="s">
        <v>60</v>
      </c>
      <c r="J15" s="177" t="s">
        <v>61</v>
      </c>
      <c r="K15" s="177" t="s">
        <v>62</v>
      </c>
      <c r="L15" s="178" t="s">
        <v>63</v>
      </c>
      <c r="M15" s="177" t="s">
        <v>64</v>
      </c>
      <c r="N15" s="177" t="s">
        <v>65</v>
      </c>
      <c r="O15" s="177" t="s">
        <v>66</v>
      </c>
      <c r="P15" s="179" t="s">
        <v>67</v>
      </c>
      <c r="Q15" s="180"/>
      <c r="R15" s="180"/>
      <c r="S15" s="171" t="s">
        <v>68</v>
      </c>
      <c r="T15" s="159"/>
    </row>
    <row r="16" spans="1:20" ht="20.25">
      <c r="A16" s="29"/>
      <c r="B16" s="30" t="s">
        <v>92</v>
      </c>
      <c r="C16" s="181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3"/>
      <c r="Q16" s="184"/>
      <c r="R16" s="185"/>
      <c r="S16" s="186"/>
      <c r="T16" s="159"/>
    </row>
    <row r="17" spans="1:20" ht="20.25">
      <c r="A17" s="7">
        <v>2</v>
      </c>
      <c r="B17" s="33" t="s">
        <v>69</v>
      </c>
      <c r="C17" s="187">
        <v>12.2</v>
      </c>
      <c r="D17" s="67">
        <f>L17+O17</f>
        <v>8984</v>
      </c>
      <c r="E17" s="65">
        <v>5910</v>
      </c>
      <c r="F17" s="65">
        <v>1120</v>
      </c>
      <c r="G17" s="65">
        <v>95</v>
      </c>
      <c r="H17" s="65">
        <v>5</v>
      </c>
      <c r="I17" s="65">
        <v>720</v>
      </c>
      <c r="J17" s="65">
        <v>50</v>
      </c>
      <c r="K17" s="66">
        <v>72</v>
      </c>
      <c r="L17" s="67">
        <f>SUM(E17:K17)</f>
        <v>7972</v>
      </c>
      <c r="M17" s="68">
        <v>810</v>
      </c>
      <c r="N17" s="68">
        <v>202</v>
      </c>
      <c r="O17" s="67">
        <f>M17+N17</f>
        <v>1012</v>
      </c>
      <c r="P17" s="69">
        <f>O17/E17*100</f>
        <v>17.123519458544838</v>
      </c>
      <c r="Q17" s="70">
        <f>R17+S17</f>
        <v>1325</v>
      </c>
      <c r="R17" s="71">
        <v>10</v>
      </c>
      <c r="S17" s="72">
        <f>ROUND(((O17+L17)*12*C17)/1000,0)</f>
        <v>1315</v>
      </c>
      <c r="T17" s="159"/>
    </row>
    <row r="18" spans="1:20" ht="21" thickBot="1">
      <c r="A18" s="34"/>
      <c r="B18" s="33" t="s">
        <v>93</v>
      </c>
      <c r="C18" s="188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140"/>
      <c r="Q18" s="141"/>
      <c r="R18" s="142"/>
      <c r="S18" s="189"/>
      <c r="T18" s="159"/>
    </row>
    <row r="19" spans="1:20" ht="21" customHeight="1" thickBot="1">
      <c r="A19" s="29">
        <v>3</v>
      </c>
      <c r="B19" s="237" t="s">
        <v>88</v>
      </c>
      <c r="C19" s="80">
        <f>C17</f>
        <v>12.2</v>
      </c>
      <c r="D19" s="81">
        <f>L19+O19</f>
        <v>292.434904</v>
      </c>
      <c r="E19" s="82">
        <v>248</v>
      </c>
      <c r="F19" s="83">
        <f>SUM(E19*0.1536)</f>
        <v>38.0928</v>
      </c>
      <c r="G19" s="83">
        <v>0</v>
      </c>
      <c r="H19" s="84">
        <v>0</v>
      </c>
      <c r="I19" s="83">
        <v>0</v>
      </c>
      <c r="J19" s="83">
        <f>SUM(E19*0.025573)</f>
        <v>6.342104</v>
      </c>
      <c r="K19" s="83">
        <v>0</v>
      </c>
      <c r="L19" s="85">
        <f>SUM(E19:K19)</f>
        <v>292.434904</v>
      </c>
      <c r="M19" s="83">
        <v>0</v>
      </c>
      <c r="N19" s="84">
        <v>0</v>
      </c>
      <c r="O19" s="81">
        <f>M19+N19</f>
        <v>0</v>
      </c>
      <c r="P19" s="86" t="s">
        <v>70</v>
      </c>
      <c r="Q19" s="70">
        <f>R19+S19</f>
        <v>43</v>
      </c>
      <c r="R19" s="87">
        <v>0</v>
      </c>
      <c r="S19" s="72">
        <f>ROUND(((O19+L19)*12*C19)/1000,0)</f>
        <v>43</v>
      </c>
      <c r="T19" s="159"/>
    </row>
    <row r="20" spans="1:20" ht="21" thickBot="1">
      <c r="A20" s="34"/>
      <c r="B20" s="238"/>
      <c r="C20" s="88"/>
      <c r="D20" s="89"/>
      <c r="E20" s="90"/>
      <c r="F20" s="83"/>
      <c r="G20" s="91"/>
      <c r="H20" s="92"/>
      <c r="I20" s="91"/>
      <c r="J20" s="93"/>
      <c r="K20" s="91"/>
      <c r="L20" s="85">
        <f>SUM(E20:K20)</f>
        <v>0</v>
      </c>
      <c r="M20" s="91"/>
      <c r="N20" s="92"/>
      <c r="O20" s="81"/>
      <c r="P20" s="94"/>
      <c r="Q20" s="95"/>
      <c r="R20" s="96"/>
      <c r="S20" s="97"/>
      <c r="T20" s="159"/>
    </row>
    <row r="21" spans="1:20" ht="21" thickBot="1">
      <c r="A21" s="29">
        <v>4</v>
      </c>
      <c r="B21" s="39" t="s">
        <v>71</v>
      </c>
      <c r="C21" s="80">
        <f>C17</f>
        <v>12.2</v>
      </c>
      <c r="D21" s="81">
        <f>L21+O21</f>
        <v>-830.592</v>
      </c>
      <c r="E21" s="98"/>
      <c r="F21" s="83">
        <f>SUM(I21*0.1536)</f>
        <v>-110.59199999999998</v>
      </c>
      <c r="G21" s="83">
        <v>0</v>
      </c>
      <c r="H21" s="84">
        <v>0</v>
      </c>
      <c r="I21" s="83">
        <f>SUM(-I17)</f>
        <v>-720</v>
      </c>
      <c r="J21" s="98"/>
      <c r="K21" s="83"/>
      <c r="L21" s="85">
        <f>SUM(E21:K21)</f>
        <v>-830.592</v>
      </c>
      <c r="M21" s="83"/>
      <c r="N21" s="84"/>
      <c r="O21" s="81">
        <f>M21+N21</f>
        <v>0</v>
      </c>
      <c r="P21" s="86" t="s">
        <v>70</v>
      </c>
      <c r="Q21" s="70">
        <f>R21+S21</f>
        <v>-122</v>
      </c>
      <c r="R21" s="87">
        <v>0</v>
      </c>
      <c r="S21" s="72">
        <f>ROUND(((O21+L21)*12*C21)/1000,0)</f>
        <v>-122</v>
      </c>
      <c r="T21" s="159"/>
    </row>
    <row r="22" spans="1:20" ht="21" thickBot="1">
      <c r="A22" s="34"/>
      <c r="B22" s="40"/>
      <c r="C22" s="99"/>
      <c r="D22" s="89"/>
      <c r="E22" s="90"/>
      <c r="F22" s="93"/>
      <c r="G22" s="91"/>
      <c r="H22" s="92"/>
      <c r="I22" s="91"/>
      <c r="J22" s="93"/>
      <c r="K22" s="91"/>
      <c r="L22" s="93"/>
      <c r="M22" s="91"/>
      <c r="N22" s="92"/>
      <c r="O22" s="91"/>
      <c r="P22" s="94"/>
      <c r="Q22" s="95"/>
      <c r="R22" s="96"/>
      <c r="S22" s="97"/>
      <c r="T22" s="159"/>
    </row>
    <row r="23" spans="1:20" ht="20.25" customHeight="1">
      <c r="A23" s="7">
        <v>5</v>
      </c>
      <c r="B23" s="237" t="s">
        <v>94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100"/>
      <c r="Q23" s="77"/>
      <c r="R23" s="78"/>
      <c r="S23" s="79"/>
      <c r="T23" s="159"/>
    </row>
    <row r="24" spans="1:20" ht="21" thickBot="1">
      <c r="A24" s="7"/>
      <c r="B24" s="238"/>
      <c r="C24" s="101">
        <f>C17</f>
        <v>12.2</v>
      </c>
      <c r="D24" s="81">
        <f>L24+O24</f>
        <v>8445.842904000001</v>
      </c>
      <c r="E24" s="85">
        <f>E17+E19+E21</f>
        <v>6158</v>
      </c>
      <c r="F24" s="85">
        <f aca="true" t="shared" si="0" ref="F24:K24">F17+F19+F21</f>
        <v>1047.5007999999998</v>
      </c>
      <c r="G24" s="85">
        <f t="shared" si="0"/>
        <v>95</v>
      </c>
      <c r="H24" s="85">
        <f t="shared" si="0"/>
        <v>5</v>
      </c>
      <c r="I24" s="85">
        <f t="shared" si="0"/>
        <v>0</v>
      </c>
      <c r="J24" s="85">
        <f t="shared" si="0"/>
        <v>56.342104</v>
      </c>
      <c r="K24" s="85">
        <f t="shared" si="0"/>
        <v>72</v>
      </c>
      <c r="L24" s="85">
        <f>SUM(E24:K24)</f>
        <v>7433.842904</v>
      </c>
      <c r="M24" s="85">
        <f>M17</f>
        <v>810</v>
      </c>
      <c r="N24" s="85">
        <f>N17</f>
        <v>202</v>
      </c>
      <c r="O24" s="81">
        <f>M24+N24</f>
        <v>1012</v>
      </c>
      <c r="P24" s="102">
        <f>O24/E24*100</f>
        <v>16.43390711269893</v>
      </c>
      <c r="Q24" s="103">
        <f>R24+S24</f>
        <v>1246</v>
      </c>
      <c r="R24" s="85">
        <f>R17</f>
        <v>10</v>
      </c>
      <c r="S24" s="104">
        <f>ROUND(((O24+L24)*12*C24)/1000,0)</f>
        <v>1236</v>
      </c>
      <c r="T24" s="159"/>
    </row>
    <row r="25" spans="1:20" ht="20.25" customHeight="1">
      <c r="A25" s="29">
        <v>6</v>
      </c>
      <c r="B25" s="237" t="s">
        <v>89</v>
      </c>
      <c r="C25" s="105"/>
      <c r="D25" s="106"/>
      <c r="E25" s="106"/>
      <c r="F25" s="106"/>
      <c r="G25" s="107"/>
      <c r="H25" s="106"/>
      <c r="I25" s="106"/>
      <c r="J25" s="106"/>
      <c r="K25" s="106"/>
      <c r="L25" s="106"/>
      <c r="M25" s="106"/>
      <c r="N25" s="106"/>
      <c r="O25" s="106"/>
      <c r="P25" s="108"/>
      <c r="Q25" s="109"/>
      <c r="R25" s="110"/>
      <c r="S25" s="111"/>
      <c r="T25" s="159"/>
    </row>
    <row r="26" spans="1:20" ht="21" thickBot="1">
      <c r="A26" s="7"/>
      <c r="B26" s="239"/>
      <c r="C26" s="112">
        <f>SUM(J10-H10)</f>
        <v>-0.9000000000000004</v>
      </c>
      <c r="D26" s="113"/>
      <c r="E26" s="113"/>
      <c r="F26" s="113"/>
      <c r="G26" s="114"/>
      <c r="H26" s="113"/>
      <c r="I26" s="113"/>
      <c r="J26" s="113"/>
      <c r="K26" s="113"/>
      <c r="L26" s="113"/>
      <c r="M26" s="113"/>
      <c r="N26" s="113"/>
      <c r="O26" s="113"/>
      <c r="P26" s="115"/>
      <c r="Q26" s="116"/>
      <c r="R26" s="117"/>
      <c r="S26" s="118"/>
      <c r="T26" s="159"/>
    </row>
    <row r="27" spans="1:20" ht="21" thickBot="1">
      <c r="A27" s="7"/>
      <c r="B27" s="35" t="s">
        <v>95</v>
      </c>
      <c r="C27" s="119">
        <f>(C26/3)*2</f>
        <v>-0.6000000000000002</v>
      </c>
      <c r="D27" s="120"/>
      <c r="E27" s="121"/>
      <c r="F27" s="120"/>
      <c r="G27" s="122"/>
      <c r="H27" s="120"/>
      <c r="I27" s="120"/>
      <c r="J27" s="120"/>
      <c r="K27" s="120"/>
      <c r="L27" s="120"/>
      <c r="M27" s="120"/>
      <c r="N27" s="120"/>
      <c r="O27" s="120"/>
      <c r="P27" s="123"/>
      <c r="Q27" s="124"/>
      <c r="R27" s="125"/>
      <c r="S27" s="111"/>
      <c r="T27" s="159"/>
    </row>
    <row r="28" spans="1:20" ht="21" customHeight="1" thickBot="1">
      <c r="A28" s="29">
        <v>7</v>
      </c>
      <c r="B28" s="237" t="s">
        <v>96</v>
      </c>
      <c r="C28" s="126"/>
      <c r="D28" s="113"/>
      <c r="E28" s="113"/>
      <c r="F28" s="113"/>
      <c r="G28" s="114"/>
      <c r="H28" s="113"/>
      <c r="I28" s="113"/>
      <c r="J28" s="113"/>
      <c r="K28" s="113"/>
      <c r="L28" s="113"/>
      <c r="M28" s="113"/>
      <c r="N28" s="113"/>
      <c r="O28" s="113"/>
      <c r="P28" s="115"/>
      <c r="Q28" s="127"/>
      <c r="R28" s="128"/>
      <c r="S28" s="129"/>
      <c r="T28" s="159"/>
    </row>
    <row r="29" spans="1:20" ht="21" thickBot="1">
      <c r="A29" s="7"/>
      <c r="B29" s="239"/>
      <c r="C29" s="112">
        <f>SUM(L10-J10)</f>
        <v>-0.09999999999999964</v>
      </c>
      <c r="D29" s="113"/>
      <c r="E29" s="113"/>
      <c r="F29" s="113"/>
      <c r="G29" s="114"/>
      <c r="H29" s="113"/>
      <c r="I29" s="113"/>
      <c r="J29" s="113"/>
      <c r="K29" s="113"/>
      <c r="L29" s="113"/>
      <c r="M29" s="113"/>
      <c r="N29" s="113"/>
      <c r="O29" s="113"/>
      <c r="P29" s="115"/>
      <c r="Q29" s="127"/>
      <c r="R29" s="128"/>
      <c r="S29" s="129"/>
      <c r="T29" s="159"/>
    </row>
    <row r="30" spans="1:20" ht="21" thickBot="1">
      <c r="A30" s="34"/>
      <c r="B30" s="35" t="s">
        <v>95</v>
      </c>
      <c r="C30" s="130">
        <f>C29/3</f>
        <v>-0.033333333333333215</v>
      </c>
      <c r="D30" s="120"/>
      <c r="E30" s="121"/>
      <c r="F30" s="120"/>
      <c r="G30" s="122"/>
      <c r="H30" s="120"/>
      <c r="I30" s="120"/>
      <c r="J30" s="120"/>
      <c r="K30" s="120"/>
      <c r="L30" s="120"/>
      <c r="M30" s="120"/>
      <c r="N30" s="120"/>
      <c r="O30" s="120"/>
      <c r="P30" s="123"/>
      <c r="Q30" s="124"/>
      <c r="R30" s="125"/>
      <c r="S30" s="111"/>
      <c r="T30" s="159"/>
    </row>
    <row r="31" spans="1:20" ht="20.25">
      <c r="A31" s="29"/>
      <c r="B31" s="33" t="s">
        <v>97</v>
      </c>
      <c r="C31" s="75"/>
      <c r="D31" s="83"/>
      <c r="E31" s="83"/>
      <c r="F31" s="83"/>
      <c r="G31" s="83"/>
      <c r="H31" s="83"/>
      <c r="I31" s="83"/>
      <c r="J31" s="83"/>
      <c r="K31" s="83"/>
      <c r="L31" s="131"/>
      <c r="M31" s="83"/>
      <c r="N31" s="83"/>
      <c r="O31" s="83"/>
      <c r="P31" s="132"/>
      <c r="Q31" s="133"/>
      <c r="R31" s="134"/>
      <c r="S31" s="135"/>
      <c r="T31" s="159"/>
    </row>
    <row r="32" spans="1:20" ht="20.25">
      <c r="A32" s="7">
        <v>8</v>
      </c>
      <c r="B32" s="33" t="s">
        <v>98</v>
      </c>
      <c r="C32" s="75"/>
      <c r="D32" s="75"/>
      <c r="E32" s="75"/>
      <c r="F32" s="75"/>
      <c r="G32" s="75"/>
      <c r="H32" s="75"/>
      <c r="I32" s="75"/>
      <c r="J32" s="75"/>
      <c r="K32" s="75"/>
      <c r="L32" s="136"/>
      <c r="M32" s="75"/>
      <c r="N32" s="75"/>
      <c r="O32" s="75"/>
      <c r="P32" s="76"/>
      <c r="Q32" s="77"/>
      <c r="R32" s="78"/>
      <c r="S32" s="137"/>
      <c r="T32" s="159"/>
    </row>
    <row r="33" spans="1:20" ht="20.25">
      <c r="A33" s="7"/>
      <c r="B33" s="33" t="s">
        <v>72</v>
      </c>
      <c r="C33" s="138">
        <f>C17+C27+C30</f>
        <v>11.566666666666666</v>
      </c>
      <c r="D33" s="67">
        <f>L33+O33</f>
        <v>8445.842904000001</v>
      </c>
      <c r="E33" s="74">
        <f>E24</f>
        <v>6158</v>
      </c>
      <c r="F33" s="74">
        <f aca="true" t="shared" si="1" ref="F33:N33">F24</f>
        <v>1047.5007999999998</v>
      </c>
      <c r="G33" s="74">
        <f t="shared" si="1"/>
        <v>95</v>
      </c>
      <c r="H33" s="74">
        <f t="shared" si="1"/>
        <v>5</v>
      </c>
      <c r="I33" s="74">
        <f t="shared" si="1"/>
        <v>0</v>
      </c>
      <c r="J33" s="74">
        <f t="shared" si="1"/>
        <v>56.342104</v>
      </c>
      <c r="K33" s="74">
        <f t="shared" si="1"/>
        <v>72</v>
      </c>
      <c r="L33" s="67">
        <f>SUM(E33:K33)</f>
        <v>7433.842904</v>
      </c>
      <c r="M33" s="74">
        <f t="shared" si="1"/>
        <v>810</v>
      </c>
      <c r="N33" s="74">
        <f t="shared" si="1"/>
        <v>202</v>
      </c>
      <c r="O33" s="67">
        <f>N33+M33</f>
        <v>1012</v>
      </c>
      <c r="P33" s="190">
        <f>O33/E33*100</f>
        <v>16.43390711269893</v>
      </c>
      <c r="Q33" s="139">
        <f>R33+S33</f>
        <v>1182.2829950752002</v>
      </c>
      <c r="R33" s="74">
        <f>R24</f>
        <v>10</v>
      </c>
      <c r="S33" s="139">
        <f>D33*12*C33/1000</f>
        <v>1172.2829950752002</v>
      </c>
      <c r="T33" s="159"/>
    </row>
    <row r="34" spans="1:20" ht="21" thickBot="1">
      <c r="A34" s="34"/>
      <c r="B34" s="36" t="s">
        <v>99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140"/>
      <c r="Q34" s="141"/>
      <c r="R34" s="142"/>
      <c r="S34" s="143"/>
      <c r="T34" s="159"/>
    </row>
    <row r="35" spans="1:20" ht="20.25">
      <c r="A35" s="6"/>
      <c r="B35" s="37" t="s">
        <v>102</v>
      </c>
      <c r="C35" s="144">
        <f>C33</f>
        <v>11.566666666666666</v>
      </c>
      <c r="D35" s="145"/>
      <c r="E35" s="88"/>
      <c r="F35" s="145"/>
      <c r="G35" s="88"/>
      <c r="H35" s="145"/>
      <c r="I35" s="88"/>
      <c r="J35" s="145"/>
      <c r="K35" s="88"/>
      <c r="L35" s="145"/>
      <c r="M35" s="146"/>
      <c r="N35" s="145"/>
      <c r="O35" s="88">
        <f>O33</f>
        <v>1012</v>
      </c>
      <c r="P35" s="147"/>
      <c r="Q35" s="148">
        <f>R35+S35</f>
        <v>140.4656</v>
      </c>
      <c r="R35" s="149">
        <v>0</v>
      </c>
      <c r="S35" s="139">
        <f>O35*C36*12/1000</f>
        <v>140.4656</v>
      </c>
      <c r="T35" s="159"/>
    </row>
    <row r="36" spans="1:20" ht="20.25">
      <c r="A36" s="8">
        <v>9</v>
      </c>
      <c r="B36" s="37" t="s">
        <v>73</v>
      </c>
      <c r="C36" s="144">
        <f>C33</f>
        <v>11.566666666666666</v>
      </c>
      <c r="D36" s="145"/>
      <c r="E36" s="88"/>
      <c r="F36" s="145"/>
      <c r="G36" s="88"/>
      <c r="H36" s="145"/>
      <c r="I36" s="88"/>
      <c r="J36" s="145"/>
      <c r="K36" s="88"/>
      <c r="L36" s="145"/>
      <c r="M36" s="73">
        <f>O33/100*80</f>
        <v>809.5999999999999</v>
      </c>
      <c r="N36" s="149"/>
      <c r="O36" s="88"/>
      <c r="P36" s="147"/>
      <c r="Q36" s="150"/>
      <c r="R36" s="147"/>
      <c r="S36" s="139">
        <f>C36*M36*12/1000</f>
        <v>112.37248</v>
      </c>
      <c r="T36" s="159"/>
    </row>
    <row r="37" spans="1:20" ht="21" thickBot="1">
      <c r="A37" s="22"/>
      <c r="B37" s="38" t="s">
        <v>74</v>
      </c>
      <c r="C37" s="151">
        <f>C33</f>
        <v>11.566666666666666</v>
      </c>
      <c r="D37" s="152"/>
      <c r="E37" s="99"/>
      <c r="F37" s="152"/>
      <c r="G37" s="99"/>
      <c r="H37" s="152"/>
      <c r="I37" s="99"/>
      <c r="J37" s="152"/>
      <c r="K37" s="99"/>
      <c r="L37" s="152"/>
      <c r="M37" s="153"/>
      <c r="N37" s="92">
        <f>O33/100*20</f>
        <v>202.39999999999998</v>
      </c>
      <c r="O37" s="99"/>
      <c r="P37" s="94"/>
      <c r="Q37" s="154"/>
      <c r="R37" s="94"/>
      <c r="S37" s="143">
        <f>C37*N37*12/1000</f>
        <v>28.09312</v>
      </c>
      <c r="T37" s="159"/>
    </row>
    <row r="38" spans="2:20" ht="18">
      <c r="B38" s="233" t="s">
        <v>91</v>
      </c>
      <c r="C38" s="236"/>
      <c r="D38" s="236"/>
      <c r="E38" s="236"/>
      <c r="F38" s="236"/>
      <c r="G38" s="236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9"/>
      <c r="T38" s="159"/>
    </row>
    <row r="39" spans="3:20" ht="18"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9"/>
      <c r="T39" s="159"/>
    </row>
    <row r="40" spans="3:20" ht="18"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9"/>
      <c r="T40" s="159"/>
    </row>
    <row r="41" spans="3:20" ht="18"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9"/>
      <c r="T41" s="159"/>
    </row>
  </sheetData>
  <mergeCells count="4">
    <mergeCell ref="B19:B20"/>
    <mergeCell ref="B23:B24"/>
    <mergeCell ref="B25:B26"/>
    <mergeCell ref="B28:B29"/>
  </mergeCells>
  <printOptions/>
  <pageMargins left="0.75" right="0.75" top="1" bottom="1" header="0.4921259845" footer="0.4921259845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V39"/>
  <sheetViews>
    <sheetView zoomScale="65" zoomScaleNormal="65" workbookViewId="0" topLeftCell="A1">
      <selection activeCell="D21" sqref="D21"/>
    </sheetView>
  </sheetViews>
  <sheetFormatPr defaultColWidth="9.00390625" defaultRowHeight="12.75"/>
  <cols>
    <col min="1" max="1" width="6.875" style="1" customWidth="1"/>
    <col min="2" max="2" width="54.375" style="0" customWidth="1"/>
    <col min="3" max="3" width="15.00390625" style="0" customWidth="1"/>
    <col min="4" max="4" width="16.25390625" style="0" customWidth="1"/>
    <col min="5" max="5" width="13.75390625" style="0" customWidth="1"/>
    <col min="6" max="6" width="17.375" style="0" customWidth="1"/>
    <col min="7" max="7" width="13.875" style="0" customWidth="1"/>
    <col min="8" max="8" width="16.625" style="0" customWidth="1"/>
    <col min="9" max="10" width="16.125" style="0" customWidth="1"/>
    <col min="11" max="11" width="14.25390625" style="0" customWidth="1"/>
    <col min="12" max="12" width="15.25390625" style="0" customWidth="1"/>
    <col min="13" max="13" width="8.625" style="0" customWidth="1"/>
    <col min="14" max="14" width="8.25390625" style="0" customWidth="1"/>
    <col min="15" max="15" width="11.25390625" style="0" customWidth="1"/>
    <col min="16" max="18" width="15.75390625" style="0" customWidth="1"/>
    <col min="19" max="19" width="19.00390625" style="2" customWidth="1"/>
  </cols>
  <sheetData>
    <row r="1" spans="2:19" ht="20.25">
      <c r="B1" s="41" t="s">
        <v>0</v>
      </c>
      <c r="C1" s="42"/>
      <c r="D1" s="62" t="s">
        <v>1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</row>
    <row r="2" spans="2:19" ht="25.5">
      <c r="B2" s="44"/>
      <c r="C2" s="42"/>
      <c r="D2" s="42"/>
      <c r="E2" s="42"/>
      <c r="F2" s="42"/>
      <c r="G2" s="42"/>
      <c r="H2" s="45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</row>
    <row r="3" spans="2:19" ht="24" thickBot="1">
      <c r="B3" s="46" t="s">
        <v>104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2"/>
      <c r="Q3" s="42"/>
      <c r="R3" s="42"/>
      <c r="S3" s="44"/>
    </row>
    <row r="4" spans="1:19" ht="105.75" thickBot="1">
      <c r="A4" s="3"/>
      <c r="B4" s="48"/>
      <c r="C4" s="4" t="s">
        <v>2</v>
      </c>
      <c r="D4" s="5" t="s">
        <v>78</v>
      </c>
      <c r="E4" s="4" t="s">
        <v>4</v>
      </c>
      <c r="F4" s="5" t="s">
        <v>79</v>
      </c>
      <c r="G4" s="4" t="s">
        <v>77</v>
      </c>
      <c r="H4" s="5" t="s">
        <v>80</v>
      </c>
      <c r="I4" s="4" t="s">
        <v>7</v>
      </c>
      <c r="J4" s="5" t="s">
        <v>81</v>
      </c>
      <c r="K4" s="4" t="s">
        <v>7</v>
      </c>
      <c r="L4" s="5" t="s">
        <v>81</v>
      </c>
      <c r="M4" s="47"/>
      <c r="N4" s="47"/>
      <c r="O4" s="47"/>
      <c r="P4" s="42"/>
      <c r="Q4" s="42"/>
      <c r="R4" s="42"/>
      <c r="S4" s="44"/>
    </row>
    <row r="5" spans="1:22" ht="23.25">
      <c r="A5" s="6"/>
      <c r="B5" s="49" t="s">
        <v>9</v>
      </c>
      <c r="C5" s="191">
        <f>PedZ!C5</f>
        <v>500</v>
      </c>
      <c r="D5" s="192">
        <f>PedZ!D5+OstZ!D5</f>
        <v>38.5</v>
      </c>
      <c r="E5" s="191">
        <f>PedZ!E5</f>
        <v>480</v>
      </c>
      <c r="F5" s="193">
        <f>PedZ!F5+OstZ!F5</f>
        <v>36.9</v>
      </c>
      <c r="G5" s="194">
        <f>PedZ!G5</f>
        <v>440</v>
      </c>
      <c r="H5" s="193">
        <f>PedZ!H5+OstZ!H5</f>
        <v>33.9</v>
      </c>
      <c r="I5" s="194">
        <f>PedZ!I5</f>
        <v>430</v>
      </c>
      <c r="J5" s="193">
        <f>PedZ!J5+OstZ!J5</f>
        <v>33.1</v>
      </c>
      <c r="K5" s="194">
        <f>PedZ!K5</f>
        <v>426</v>
      </c>
      <c r="L5" s="193">
        <f>PedZ!L5+OstZ!L5</f>
        <v>32.7</v>
      </c>
      <c r="M5" s="157"/>
      <c r="N5" s="157"/>
      <c r="O5" s="157"/>
      <c r="P5" s="158"/>
      <c r="Q5" s="158"/>
      <c r="R5" s="158"/>
      <c r="S5" s="41"/>
      <c r="T5" s="159"/>
      <c r="U5" s="159"/>
      <c r="V5" s="159"/>
    </row>
    <row r="6" spans="1:22" ht="23.25">
      <c r="A6" s="7">
        <v>1</v>
      </c>
      <c r="B6" s="49" t="s">
        <v>10</v>
      </c>
      <c r="C6" s="195">
        <f>PedZ!C6</f>
        <v>0</v>
      </c>
      <c r="D6" s="196">
        <f>PedZ!D6+OstZ!D6</f>
        <v>0</v>
      </c>
      <c r="E6" s="195">
        <f>PedZ!E6</f>
        <v>0</v>
      </c>
      <c r="F6" s="197">
        <f>PedZ!F6+OstZ!F6</f>
        <v>0</v>
      </c>
      <c r="G6" s="198">
        <f>PedZ!G6</f>
        <v>0</v>
      </c>
      <c r="H6" s="197">
        <f>PedZ!H6+OstZ!H6</f>
        <v>0</v>
      </c>
      <c r="I6" s="198">
        <f>PedZ!I6</f>
        <v>0</v>
      </c>
      <c r="J6" s="197">
        <f>PedZ!J6+OstZ!J6</f>
        <v>0</v>
      </c>
      <c r="K6" s="198">
        <f>PedZ!K6</f>
        <v>0</v>
      </c>
      <c r="L6" s="197">
        <f>PedZ!L6+OstZ!L6</f>
        <v>0</v>
      </c>
      <c r="M6" s="157"/>
      <c r="N6" s="157"/>
      <c r="O6" s="157"/>
      <c r="P6" s="158"/>
      <c r="Q6" s="158"/>
      <c r="R6" s="158"/>
      <c r="S6" s="41"/>
      <c r="T6" s="159"/>
      <c r="U6" s="159"/>
      <c r="V6" s="159"/>
    </row>
    <row r="7" spans="1:22" ht="23.25">
      <c r="A7" s="8"/>
      <c r="B7" s="49" t="s">
        <v>11</v>
      </c>
      <c r="C7" s="195">
        <f>PedZ!C7</f>
        <v>400</v>
      </c>
      <c r="D7" s="196">
        <f>PedZ!D7+OstZ!D7</f>
        <v>7.1</v>
      </c>
      <c r="E7" s="195">
        <f>PedZ!E7</f>
        <v>385</v>
      </c>
      <c r="F7" s="197">
        <f>PedZ!F7+OstZ!F7</f>
        <v>6.8</v>
      </c>
      <c r="G7" s="198">
        <f>PedZ!G7</f>
        <v>390</v>
      </c>
      <c r="H7" s="197">
        <f>PedZ!H7+OstZ!H7</f>
        <v>6.9</v>
      </c>
      <c r="I7" s="198">
        <f>PedZ!I7</f>
        <v>350</v>
      </c>
      <c r="J7" s="197">
        <f>PedZ!J7+OstZ!J7</f>
        <v>6.2</v>
      </c>
      <c r="K7" s="198">
        <f>PedZ!K7</f>
        <v>350</v>
      </c>
      <c r="L7" s="197">
        <f>PedZ!L7+OstZ!L7</f>
        <v>6.2</v>
      </c>
      <c r="M7" s="157"/>
      <c r="N7" s="157"/>
      <c r="O7" s="157"/>
      <c r="P7" s="158"/>
      <c r="Q7" s="158"/>
      <c r="R7" s="158"/>
      <c r="S7" s="41"/>
      <c r="T7" s="159"/>
      <c r="U7" s="159"/>
      <c r="V7" s="159"/>
    </row>
    <row r="8" spans="1:22" ht="23.25">
      <c r="A8" s="8"/>
      <c r="B8" s="49" t="s">
        <v>12</v>
      </c>
      <c r="C8" s="195">
        <f>PedZ!C8</f>
        <v>100</v>
      </c>
      <c r="D8" s="196">
        <f>PedZ!D8+OstZ!D8</f>
        <v>3.5</v>
      </c>
      <c r="E8" s="195">
        <f>PedZ!E8</f>
        <v>90</v>
      </c>
      <c r="F8" s="197">
        <f>PedZ!F8+OstZ!F8</f>
        <v>3.2</v>
      </c>
      <c r="G8" s="198">
        <f>PedZ!G8</f>
        <v>95</v>
      </c>
      <c r="H8" s="197">
        <f>PedZ!H8+OstZ!H8</f>
        <v>3.3</v>
      </c>
      <c r="I8" s="198">
        <f>PedZ!I8</f>
        <v>84</v>
      </c>
      <c r="J8" s="197">
        <f>PedZ!J8+OstZ!J8</f>
        <v>3</v>
      </c>
      <c r="K8" s="198">
        <f>PedZ!K8</f>
        <v>84</v>
      </c>
      <c r="L8" s="197">
        <f>PedZ!L8+OstZ!L8</f>
        <v>3</v>
      </c>
      <c r="M8" s="157"/>
      <c r="N8" s="157"/>
      <c r="O8" s="157"/>
      <c r="P8" s="158"/>
      <c r="Q8" s="158"/>
      <c r="R8" s="158"/>
      <c r="S8" s="41"/>
      <c r="T8" s="159"/>
      <c r="U8" s="159"/>
      <c r="V8" s="159"/>
    </row>
    <row r="9" spans="1:22" ht="23.25">
      <c r="A9" s="8"/>
      <c r="B9" s="49" t="s">
        <v>13</v>
      </c>
      <c r="C9" s="195">
        <f>PedZ!C9</f>
        <v>0</v>
      </c>
      <c r="D9" s="196">
        <f>PedZ!D9+OstZ!D9</f>
        <v>0</v>
      </c>
      <c r="E9" s="195">
        <f>PedZ!E9</f>
        <v>0</v>
      </c>
      <c r="F9" s="197">
        <f>PedZ!F9+OstZ!F9</f>
        <v>0</v>
      </c>
      <c r="G9" s="198">
        <f>PedZ!G9</f>
        <v>0</v>
      </c>
      <c r="H9" s="197">
        <f>PedZ!H9+OstZ!H9</f>
        <v>0</v>
      </c>
      <c r="I9" s="198">
        <f>PedZ!I9</f>
        <v>0</v>
      </c>
      <c r="J9" s="197">
        <f>PedZ!J9+OstZ!J9</f>
        <v>0</v>
      </c>
      <c r="K9" s="198">
        <f>PedZ!K9</f>
        <v>0</v>
      </c>
      <c r="L9" s="197">
        <f>PedZ!L9+OstZ!L9</f>
        <v>0</v>
      </c>
      <c r="M9" s="157"/>
      <c r="N9" s="157"/>
      <c r="O9" s="157"/>
      <c r="P9" s="158"/>
      <c r="Q9" s="158"/>
      <c r="R9" s="158"/>
      <c r="S9" s="41"/>
      <c r="T9" s="159"/>
      <c r="U9" s="159"/>
      <c r="V9" s="159"/>
    </row>
    <row r="10" spans="1:22" ht="26.25" thickBot="1">
      <c r="A10" s="8"/>
      <c r="B10" s="54" t="s">
        <v>14</v>
      </c>
      <c r="C10" s="162">
        <f>PedZ!C10</f>
        <v>1000</v>
      </c>
      <c r="D10" s="199">
        <f>SUM(D5:D9)</f>
        <v>49.1</v>
      </c>
      <c r="E10" s="162">
        <f>PedZ!E10</f>
        <v>955</v>
      </c>
      <c r="F10" s="163">
        <f>SUM(F5:F9)</f>
        <v>46.9</v>
      </c>
      <c r="G10" s="200">
        <f>PedZ!G10</f>
        <v>925</v>
      </c>
      <c r="H10" s="163">
        <f>SUM(H5:H9)</f>
        <v>44.099999999999994</v>
      </c>
      <c r="I10" s="200">
        <f>PedZ!I10</f>
        <v>864</v>
      </c>
      <c r="J10" s="163">
        <f>SUM(J5:J9)</f>
        <v>42.300000000000004</v>
      </c>
      <c r="K10" s="200">
        <f>PedZ!K10</f>
        <v>860</v>
      </c>
      <c r="L10" s="163">
        <f>SUM(L5:L9)</f>
        <v>41.900000000000006</v>
      </c>
      <c r="M10" s="157"/>
      <c r="N10" s="164"/>
      <c r="O10" s="157"/>
      <c r="P10" s="158"/>
      <c r="Q10" s="158"/>
      <c r="R10" s="158"/>
      <c r="S10" s="41"/>
      <c r="T10" s="159"/>
      <c r="U10" s="159"/>
      <c r="V10" s="159"/>
    </row>
    <row r="11" spans="1:22" ht="21" thickBot="1">
      <c r="A11" s="8"/>
      <c r="B11" s="9"/>
      <c r="C11" s="165" t="s">
        <v>15</v>
      </c>
      <c r="D11" s="165" t="s">
        <v>16</v>
      </c>
      <c r="E11" s="166"/>
      <c r="F11" s="167"/>
      <c r="G11" s="168" t="s">
        <v>17</v>
      </c>
      <c r="H11" s="167"/>
      <c r="I11" s="167"/>
      <c r="J11" s="167"/>
      <c r="K11" s="167"/>
      <c r="L11" s="167"/>
      <c r="M11" s="167"/>
      <c r="N11" s="167"/>
      <c r="O11" s="169"/>
      <c r="P11" s="165" t="s">
        <v>18</v>
      </c>
      <c r="Q11" s="170" t="s">
        <v>19</v>
      </c>
      <c r="R11" s="170" t="s">
        <v>20</v>
      </c>
      <c r="S11" s="170"/>
      <c r="T11" s="159"/>
      <c r="U11" s="159"/>
      <c r="V11" s="159"/>
    </row>
    <row r="12" spans="1:22" ht="20.25">
      <c r="A12" s="8"/>
      <c r="B12" s="15"/>
      <c r="C12" s="171" t="s">
        <v>21</v>
      </c>
      <c r="D12" s="171" t="s">
        <v>22</v>
      </c>
      <c r="E12" s="165" t="s">
        <v>23</v>
      </c>
      <c r="F12" s="171" t="s">
        <v>24</v>
      </c>
      <c r="G12" s="165" t="s">
        <v>25</v>
      </c>
      <c r="H12" s="171" t="s">
        <v>26</v>
      </c>
      <c r="I12" s="171" t="s">
        <v>27</v>
      </c>
      <c r="J12" s="171" t="s">
        <v>28</v>
      </c>
      <c r="K12" s="171" t="s">
        <v>29</v>
      </c>
      <c r="L12" s="171" t="s">
        <v>30</v>
      </c>
      <c r="M12" s="171" t="s">
        <v>31</v>
      </c>
      <c r="N12" s="171" t="s">
        <v>32</v>
      </c>
      <c r="O12" s="165" t="s">
        <v>33</v>
      </c>
      <c r="P12" s="171" t="s">
        <v>34</v>
      </c>
      <c r="Q12" s="172" t="s">
        <v>35</v>
      </c>
      <c r="R12" s="172" t="s">
        <v>19</v>
      </c>
      <c r="S12" s="172" t="s">
        <v>19</v>
      </c>
      <c r="T12" s="159"/>
      <c r="U12" s="159"/>
      <c r="V12" s="159"/>
    </row>
    <row r="13" spans="1:22" ht="20.25">
      <c r="A13" s="8"/>
      <c r="B13" s="18"/>
      <c r="C13" s="171" t="s">
        <v>36</v>
      </c>
      <c r="D13" s="171" t="s">
        <v>37</v>
      </c>
      <c r="E13" s="171" t="s">
        <v>38</v>
      </c>
      <c r="F13" s="171" t="s">
        <v>39</v>
      </c>
      <c r="G13" s="171" t="s">
        <v>40</v>
      </c>
      <c r="H13" s="171" t="s">
        <v>41</v>
      </c>
      <c r="I13" s="171" t="s">
        <v>42</v>
      </c>
      <c r="J13" s="171" t="s">
        <v>43</v>
      </c>
      <c r="K13" s="171" t="s">
        <v>44</v>
      </c>
      <c r="L13" s="171" t="s">
        <v>45</v>
      </c>
      <c r="M13" s="171" t="s">
        <v>41</v>
      </c>
      <c r="N13" s="171"/>
      <c r="O13" s="171" t="s">
        <v>45</v>
      </c>
      <c r="P13" s="171" t="s">
        <v>46</v>
      </c>
      <c r="Q13" s="172"/>
      <c r="R13" s="172" t="s">
        <v>47</v>
      </c>
      <c r="S13" s="172" t="s">
        <v>48</v>
      </c>
      <c r="T13" s="159"/>
      <c r="U13" s="159"/>
      <c r="V13" s="159"/>
    </row>
    <row r="14" spans="1:22" ht="21" thickBot="1">
      <c r="A14" s="8"/>
      <c r="B14" s="19"/>
      <c r="C14" s="174" t="s">
        <v>49</v>
      </c>
      <c r="D14" s="174" t="s">
        <v>50</v>
      </c>
      <c r="E14" s="174"/>
      <c r="F14" s="174"/>
      <c r="G14" s="174"/>
      <c r="H14" s="174"/>
      <c r="I14" s="174"/>
      <c r="J14" s="174"/>
      <c r="K14" s="174" t="s">
        <v>51</v>
      </c>
      <c r="L14" s="174" t="s">
        <v>39</v>
      </c>
      <c r="M14" s="174"/>
      <c r="N14" s="174"/>
      <c r="O14" s="174" t="s">
        <v>39</v>
      </c>
      <c r="P14" s="174" t="s">
        <v>52</v>
      </c>
      <c r="Q14" s="175" t="s">
        <v>53</v>
      </c>
      <c r="R14" s="175" t="s">
        <v>53</v>
      </c>
      <c r="S14" s="175" t="s">
        <v>53</v>
      </c>
      <c r="T14" s="159"/>
      <c r="U14" s="159"/>
      <c r="V14" s="159"/>
    </row>
    <row r="15" spans="1:22" ht="21" thickBot="1">
      <c r="A15" s="22"/>
      <c r="B15" s="23"/>
      <c r="C15" s="177" t="s">
        <v>54</v>
      </c>
      <c r="D15" s="177" t="s">
        <v>55</v>
      </c>
      <c r="E15" s="177" t="s">
        <v>56</v>
      </c>
      <c r="F15" s="177" t="s">
        <v>57</v>
      </c>
      <c r="G15" s="177" t="s">
        <v>58</v>
      </c>
      <c r="H15" s="177" t="s">
        <v>59</v>
      </c>
      <c r="I15" s="177" t="s">
        <v>60</v>
      </c>
      <c r="J15" s="177" t="s">
        <v>61</v>
      </c>
      <c r="K15" s="177" t="s">
        <v>62</v>
      </c>
      <c r="L15" s="178" t="s">
        <v>63</v>
      </c>
      <c r="M15" s="177" t="s">
        <v>64</v>
      </c>
      <c r="N15" s="177" t="s">
        <v>65</v>
      </c>
      <c r="O15" s="177" t="s">
        <v>66</v>
      </c>
      <c r="P15" s="201" t="s">
        <v>67</v>
      </c>
      <c r="Q15" s="202" t="s">
        <v>68</v>
      </c>
      <c r="R15" s="180" t="s">
        <v>82</v>
      </c>
      <c r="S15" s="171" t="s">
        <v>83</v>
      </c>
      <c r="T15" s="159"/>
      <c r="U15" s="159"/>
      <c r="V15" s="159"/>
    </row>
    <row r="16" spans="1:22" ht="20.25">
      <c r="A16" s="29"/>
      <c r="B16" s="30" t="s">
        <v>92</v>
      </c>
      <c r="C16" s="20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132"/>
      <c r="Q16" s="133"/>
      <c r="R16" s="134"/>
      <c r="S16" s="204"/>
      <c r="T16" s="159"/>
      <c r="U16" s="159"/>
      <c r="V16" s="159"/>
    </row>
    <row r="17" spans="1:22" ht="20.25">
      <c r="A17" s="7">
        <v>2</v>
      </c>
      <c r="B17" s="33" t="s">
        <v>69</v>
      </c>
      <c r="C17" s="101">
        <f>PedZ!C17+OstZ!C17</f>
        <v>44.7</v>
      </c>
      <c r="D17" s="67">
        <f>L17+O17</f>
        <v>14983.776286353466</v>
      </c>
      <c r="E17" s="205">
        <f>(PedZ!$C17*PedZ!E17+OstZ!$C17*OstZ!E17)/Celkem!$C17</f>
        <v>9319.955257270693</v>
      </c>
      <c r="F17" s="205">
        <f>(PedZ!$C$17*PedZ!F17+OstZ!$C$17*OstZ!F17)/Celkem!$C$17</f>
        <v>2295.671140939597</v>
      </c>
      <c r="G17" s="205">
        <f>(PedZ!$C$17*PedZ!G17+OstZ!$C$17*OstZ!G17)/Celkem!$C$17</f>
        <v>244.04921700223713</v>
      </c>
      <c r="H17" s="205">
        <f>(PedZ!$C$17*PedZ!H17+OstZ!$C$17*OstZ!H17)/Celkem!$C$17</f>
        <v>250.02237136465322</v>
      </c>
      <c r="I17" s="205">
        <f>(PedZ!$C$17*PedZ!I17+OstZ!$C$17*OstZ!I17)/Celkem!$C$17</f>
        <v>996.2863534675614</v>
      </c>
      <c r="J17" s="205">
        <f>(PedZ!$C$17*PedZ!J17+OstZ!$C$17*OstZ!J17)/Celkem!$C$17</f>
        <v>249.21700223713646</v>
      </c>
      <c r="K17" s="205">
        <f>(PedZ!$C$17*PedZ!K17+OstZ!$C$17*OstZ!K17)/Celkem!$C$17</f>
        <v>25.467561521252797</v>
      </c>
      <c r="L17" s="67">
        <f>SUM(E17:K17)</f>
        <v>13380.66890380313</v>
      </c>
      <c r="M17" s="205">
        <f>(PedZ!$C$17*PedZ!M17+OstZ!$C$17*OstZ!M17)/Celkem!$C$17</f>
        <v>1282.595078299776</v>
      </c>
      <c r="N17" s="205">
        <f>(PedZ!$C$17*PedZ!N17+OstZ!$C$17*OstZ!N17)/Celkem!$C$17</f>
        <v>320.5123042505593</v>
      </c>
      <c r="O17" s="67">
        <f>M17+N17</f>
        <v>1603.1073825503354</v>
      </c>
      <c r="P17" s="69">
        <f>O17/E17*100</f>
        <v>17.200805565023693</v>
      </c>
      <c r="Q17" s="70">
        <f>R17+S17</f>
        <v>8147</v>
      </c>
      <c r="R17" s="101">
        <f>PedZ!R17+OstZ!R17</f>
        <v>110</v>
      </c>
      <c r="S17" s="72">
        <f>ROUND(((O17+L17)*12*C17)/1000,0)</f>
        <v>8037</v>
      </c>
      <c r="T17" s="159"/>
      <c r="U17" s="159"/>
      <c r="V17" s="159"/>
    </row>
    <row r="18" spans="1:22" ht="21" thickBot="1">
      <c r="A18" s="7"/>
      <c r="B18" s="33" t="s">
        <v>93</v>
      </c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6"/>
      <c r="Q18" s="77"/>
      <c r="R18" s="78"/>
      <c r="S18" s="79"/>
      <c r="T18" s="159"/>
      <c r="U18" s="159"/>
      <c r="V18" s="159"/>
    </row>
    <row r="19" spans="1:22" ht="21" customHeight="1">
      <c r="A19" s="29">
        <v>3</v>
      </c>
      <c r="B19" s="237" t="s">
        <v>88</v>
      </c>
      <c r="C19" s="206"/>
      <c r="D19" s="206"/>
      <c r="E19" s="207"/>
      <c r="F19" s="207"/>
      <c r="G19" s="208"/>
      <c r="H19" s="207"/>
      <c r="I19" s="207"/>
      <c r="J19" s="207"/>
      <c r="K19" s="207"/>
      <c r="L19" s="207"/>
      <c r="M19" s="207"/>
      <c r="N19" s="207"/>
      <c r="O19" s="207"/>
      <c r="P19" s="108"/>
      <c r="Q19" s="209"/>
      <c r="R19" s="108"/>
      <c r="S19" s="111"/>
      <c r="T19" s="159"/>
      <c r="U19" s="159"/>
      <c r="V19" s="159"/>
    </row>
    <row r="20" spans="1:22" ht="21" thickBot="1">
      <c r="A20" s="34"/>
      <c r="B20" s="238"/>
      <c r="C20" s="210"/>
      <c r="D20" s="210"/>
      <c r="E20" s="211"/>
      <c r="F20" s="211"/>
      <c r="G20" s="212"/>
      <c r="H20" s="211"/>
      <c r="I20" s="211"/>
      <c r="J20" s="211"/>
      <c r="K20" s="211"/>
      <c r="L20" s="211"/>
      <c r="M20" s="211"/>
      <c r="N20" s="211"/>
      <c r="O20" s="211"/>
      <c r="P20" s="213"/>
      <c r="Q20" s="214"/>
      <c r="R20" s="213"/>
      <c r="S20" s="129"/>
      <c r="T20" s="159"/>
      <c r="U20" s="159"/>
      <c r="V20" s="159"/>
    </row>
    <row r="21" spans="1:22" ht="21" customHeight="1">
      <c r="A21" s="29">
        <v>4</v>
      </c>
      <c r="B21" s="39" t="s">
        <v>71</v>
      </c>
      <c r="C21" s="206"/>
      <c r="D21" s="206"/>
      <c r="E21" s="207"/>
      <c r="F21" s="207"/>
      <c r="G21" s="208"/>
      <c r="H21" s="207"/>
      <c r="I21" s="207"/>
      <c r="J21" s="207"/>
      <c r="K21" s="207"/>
      <c r="L21" s="207"/>
      <c r="M21" s="207"/>
      <c r="N21" s="207"/>
      <c r="O21" s="207"/>
      <c r="P21" s="108"/>
      <c r="Q21" s="209"/>
      <c r="R21" s="108"/>
      <c r="S21" s="111"/>
      <c r="T21" s="159"/>
      <c r="U21" s="159"/>
      <c r="V21" s="159"/>
    </row>
    <row r="22" spans="1:22" ht="21" thickBot="1">
      <c r="A22" s="34"/>
      <c r="B22" s="40"/>
      <c r="C22" s="210"/>
      <c r="D22" s="215"/>
      <c r="E22" s="216"/>
      <c r="F22" s="216"/>
      <c r="G22" s="217"/>
      <c r="H22" s="216"/>
      <c r="I22" s="216"/>
      <c r="J22" s="216"/>
      <c r="K22" s="216"/>
      <c r="L22" s="216"/>
      <c r="M22" s="216"/>
      <c r="N22" s="216"/>
      <c r="O22" s="216"/>
      <c r="P22" s="115"/>
      <c r="Q22" s="218"/>
      <c r="R22" s="115"/>
      <c r="S22" s="118"/>
      <c r="T22" s="159"/>
      <c r="U22" s="159"/>
      <c r="V22" s="159"/>
    </row>
    <row r="23" spans="1:22" ht="20.25" customHeight="1">
      <c r="A23" s="7">
        <v>5</v>
      </c>
      <c r="B23" s="237" t="s">
        <v>94</v>
      </c>
      <c r="C23" s="206"/>
      <c r="D23" s="206"/>
      <c r="E23" s="207"/>
      <c r="F23" s="207"/>
      <c r="G23" s="208"/>
      <c r="H23" s="207"/>
      <c r="I23" s="207"/>
      <c r="J23" s="207"/>
      <c r="K23" s="207"/>
      <c r="L23" s="207"/>
      <c r="M23" s="207"/>
      <c r="N23" s="207"/>
      <c r="O23" s="207"/>
      <c r="P23" s="108"/>
      <c r="Q23" s="209"/>
      <c r="R23" s="108"/>
      <c r="S23" s="111"/>
      <c r="T23" s="159"/>
      <c r="U23" s="159"/>
      <c r="V23" s="159"/>
    </row>
    <row r="24" spans="1:22" ht="21" thickBot="1">
      <c r="A24" s="7"/>
      <c r="B24" s="238"/>
      <c r="C24" s="210"/>
      <c r="D24" s="215"/>
      <c r="E24" s="216"/>
      <c r="F24" s="216"/>
      <c r="G24" s="217"/>
      <c r="H24" s="216"/>
      <c r="I24" s="216"/>
      <c r="J24" s="216"/>
      <c r="K24" s="216"/>
      <c r="L24" s="216"/>
      <c r="M24" s="216"/>
      <c r="N24" s="216"/>
      <c r="O24" s="216"/>
      <c r="P24" s="115"/>
      <c r="Q24" s="218"/>
      <c r="R24" s="115"/>
      <c r="S24" s="118"/>
      <c r="T24" s="159"/>
      <c r="U24" s="159"/>
      <c r="V24" s="159"/>
    </row>
    <row r="25" spans="1:22" ht="20.25" customHeight="1">
      <c r="A25" s="29">
        <v>6</v>
      </c>
      <c r="B25" s="237" t="s">
        <v>89</v>
      </c>
      <c r="C25" s="84"/>
      <c r="D25" s="206"/>
      <c r="E25" s="207"/>
      <c r="F25" s="207"/>
      <c r="G25" s="208"/>
      <c r="H25" s="207"/>
      <c r="I25" s="207"/>
      <c r="J25" s="207"/>
      <c r="K25" s="207"/>
      <c r="L25" s="207"/>
      <c r="M25" s="207"/>
      <c r="N25" s="207"/>
      <c r="O25" s="207"/>
      <c r="P25" s="108"/>
      <c r="Q25" s="209"/>
      <c r="R25" s="108"/>
      <c r="S25" s="111"/>
      <c r="T25" s="159"/>
      <c r="U25" s="159"/>
      <c r="V25" s="159"/>
    </row>
    <row r="26" spans="1:22" ht="20.25">
      <c r="A26" s="7"/>
      <c r="B26" s="239"/>
      <c r="C26" s="219">
        <f>PedZ!C26+OstZ!C26</f>
        <v>-1.8000000000000025</v>
      </c>
      <c r="D26" s="210"/>
      <c r="E26" s="211"/>
      <c r="F26" s="211"/>
      <c r="G26" s="212"/>
      <c r="H26" s="211"/>
      <c r="I26" s="211"/>
      <c r="J26" s="211"/>
      <c r="K26" s="211"/>
      <c r="L26" s="211"/>
      <c r="M26" s="211"/>
      <c r="N26" s="211"/>
      <c r="O26" s="211"/>
      <c r="P26" s="213"/>
      <c r="Q26" s="214"/>
      <c r="R26" s="213"/>
      <c r="S26" s="129"/>
      <c r="T26" s="159"/>
      <c r="U26" s="159"/>
      <c r="V26" s="159"/>
    </row>
    <row r="27" spans="1:22" ht="21" thickBot="1">
      <c r="A27" s="7"/>
      <c r="B27" s="35" t="s">
        <v>95</v>
      </c>
      <c r="C27" s="220">
        <f>(C26/3)*2</f>
        <v>-1.2000000000000017</v>
      </c>
      <c r="D27" s="221"/>
      <c r="E27" s="213"/>
      <c r="F27" s="222"/>
      <c r="G27" s="212"/>
      <c r="H27" s="222"/>
      <c r="I27" s="222"/>
      <c r="J27" s="222"/>
      <c r="K27" s="222"/>
      <c r="L27" s="222"/>
      <c r="M27" s="222"/>
      <c r="N27" s="222"/>
      <c r="O27" s="222"/>
      <c r="P27" s="222"/>
      <c r="Q27" s="221"/>
      <c r="R27" s="222"/>
      <c r="S27" s="129"/>
      <c r="T27" s="159"/>
      <c r="U27" s="159"/>
      <c r="V27" s="159"/>
    </row>
    <row r="28" spans="1:22" ht="21" customHeight="1">
      <c r="A28" s="29">
        <v>7</v>
      </c>
      <c r="B28" s="237" t="s">
        <v>89</v>
      </c>
      <c r="C28" s="223"/>
      <c r="D28" s="206"/>
      <c r="E28" s="207"/>
      <c r="F28" s="207"/>
      <c r="G28" s="208"/>
      <c r="H28" s="207"/>
      <c r="I28" s="207"/>
      <c r="J28" s="207"/>
      <c r="K28" s="207"/>
      <c r="L28" s="207"/>
      <c r="M28" s="207"/>
      <c r="N28" s="207"/>
      <c r="O28" s="207"/>
      <c r="P28" s="108"/>
      <c r="Q28" s="209"/>
      <c r="R28" s="108"/>
      <c r="S28" s="111"/>
      <c r="T28" s="159"/>
      <c r="U28" s="159"/>
      <c r="V28" s="159"/>
    </row>
    <row r="29" spans="1:22" ht="20.25">
      <c r="A29" s="7"/>
      <c r="B29" s="239"/>
      <c r="C29" s="219">
        <f>PedZ!C29+OstZ!C29</f>
        <v>-0.3999999999999968</v>
      </c>
      <c r="D29" s="210"/>
      <c r="E29" s="211"/>
      <c r="F29" s="211"/>
      <c r="G29" s="212"/>
      <c r="H29" s="211"/>
      <c r="I29" s="211"/>
      <c r="J29" s="211"/>
      <c r="K29" s="211"/>
      <c r="L29" s="211"/>
      <c r="M29" s="211"/>
      <c r="N29" s="211"/>
      <c r="O29" s="211"/>
      <c r="P29" s="213"/>
      <c r="Q29" s="214"/>
      <c r="R29" s="213"/>
      <c r="S29" s="129"/>
      <c r="T29" s="159"/>
      <c r="U29" s="159"/>
      <c r="V29" s="159"/>
    </row>
    <row r="30" spans="1:22" ht="21" thickBot="1">
      <c r="A30" s="34"/>
      <c r="B30" s="35" t="s">
        <v>95</v>
      </c>
      <c r="C30" s="224">
        <f>C29/3</f>
        <v>-0.13333333333333228</v>
      </c>
      <c r="D30" s="225"/>
      <c r="E30" s="115"/>
      <c r="F30" s="226"/>
      <c r="G30" s="217"/>
      <c r="H30" s="226"/>
      <c r="I30" s="226"/>
      <c r="J30" s="226"/>
      <c r="K30" s="226"/>
      <c r="L30" s="226"/>
      <c r="M30" s="226"/>
      <c r="N30" s="226"/>
      <c r="O30" s="226"/>
      <c r="P30" s="226"/>
      <c r="Q30" s="225"/>
      <c r="R30" s="226"/>
      <c r="S30" s="118"/>
      <c r="T30" s="159"/>
      <c r="U30" s="159"/>
      <c r="V30" s="159"/>
    </row>
    <row r="31" spans="1:22" ht="20.25">
      <c r="A31" s="29"/>
      <c r="B31" s="33" t="s">
        <v>97</v>
      </c>
      <c r="C31" s="75"/>
      <c r="D31" s="75"/>
      <c r="E31" s="75"/>
      <c r="F31" s="75"/>
      <c r="G31" s="75"/>
      <c r="H31" s="75"/>
      <c r="I31" s="75"/>
      <c r="J31" s="75"/>
      <c r="K31" s="75"/>
      <c r="L31" s="136"/>
      <c r="M31" s="75"/>
      <c r="N31" s="75"/>
      <c r="O31" s="75"/>
      <c r="P31" s="76"/>
      <c r="Q31" s="77"/>
      <c r="R31" s="78"/>
      <c r="S31" s="137"/>
      <c r="T31" s="159"/>
      <c r="U31" s="159"/>
      <c r="V31" s="159"/>
    </row>
    <row r="32" spans="1:22" ht="20.25">
      <c r="A32" s="7">
        <v>8</v>
      </c>
      <c r="B32" s="33" t="s">
        <v>98</v>
      </c>
      <c r="C32" s="75"/>
      <c r="D32" s="75"/>
      <c r="E32" s="75"/>
      <c r="F32" s="75"/>
      <c r="G32" s="75"/>
      <c r="H32" s="75"/>
      <c r="I32" s="75"/>
      <c r="J32" s="75"/>
      <c r="K32" s="75"/>
      <c r="L32" s="136"/>
      <c r="M32" s="75"/>
      <c r="N32" s="75"/>
      <c r="O32" s="75"/>
      <c r="P32" s="76"/>
      <c r="Q32" s="77"/>
      <c r="R32" s="78"/>
      <c r="S32" s="137"/>
      <c r="T32" s="159"/>
      <c r="U32" s="159"/>
      <c r="V32" s="159"/>
    </row>
    <row r="33" spans="1:22" ht="20.25">
      <c r="A33" s="7"/>
      <c r="B33" s="33" t="s">
        <v>72</v>
      </c>
      <c r="C33" s="138">
        <f>C17+C27+C30</f>
        <v>43.36666666666667</v>
      </c>
      <c r="D33" s="67">
        <f>L33+O33</f>
        <v>14910.405789242119</v>
      </c>
      <c r="E33" s="205">
        <f>(PedZ!$C33*PedZ!E33+OstZ!$C33*OstZ!E33)/Celkem!$C33</f>
        <v>10220.382782475019</v>
      </c>
      <c r="F33" s="205">
        <f>(PedZ!$C33*PedZ!F33+OstZ!$C33*OstZ!F33)/Celkem!$C33</f>
        <v>2286.1550413528053</v>
      </c>
      <c r="G33" s="205">
        <f>(PedZ!$C33*PedZ!G33+OstZ!$C33*OstZ!G33)/Celkem!$C33</f>
        <v>245.32282859338972</v>
      </c>
      <c r="H33" s="205">
        <f>(PedZ!$C33*PedZ!H33+OstZ!$C33*OstZ!H33)/Celkem!$C33</f>
        <v>252.1160645657187</v>
      </c>
      <c r="I33" s="205">
        <f>(PedZ!$C33*PedZ!I33+OstZ!$C33*OstZ!I33)/Celkem!$C33</f>
        <v>0</v>
      </c>
      <c r="J33" s="205">
        <f>(PedZ!$C33*PedZ!J33+OstZ!$C33*OstZ!J33)/Celkem!$C33</f>
        <v>273.20078632129133</v>
      </c>
      <c r="K33" s="205">
        <f>(PedZ!$C33*PedZ!K33+OstZ!$C33*OstZ!K33)/Celkem!$C33</f>
        <v>25.069946195234436</v>
      </c>
      <c r="L33" s="67">
        <f>SUM(E33:K33)</f>
        <v>13302.247449503457</v>
      </c>
      <c r="M33" s="205">
        <f>(PedZ!$C$33*PedZ!M33+OstZ!$C$33*OstZ!M33)/Celkem!$C$33</f>
        <v>1286.6333589546502</v>
      </c>
      <c r="N33" s="205">
        <f>(PedZ!$C$33*PedZ!N33+OstZ!$C$33*OstZ!N33)/Celkem!$C$33</f>
        <v>321.5249807840123</v>
      </c>
      <c r="O33" s="67">
        <f>M33+N33</f>
        <v>1608.1583397386626</v>
      </c>
      <c r="P33" s="69">
        <f>O33/E33*100</f>
        <v>15.734815162658936</v>
      </c>
      <c r="Q33" s="70">
        <f>R33+S33</f>
        <v>7869</v>
      </c>
      <c r="R33" s="101">
        <f>PedZ!R33+OstZ!R33</f>
        <v>110</v>
      </c>
      <c r="S33" s="72">
        <f>ROUND(((O33+L33)*12*C33)/1000,0)</f>
        <v>7759</v>
      </c>
      <c r="T33" s="159"/>
      <c r="U33" s="159"/>
      <c r="V33" s="159"/>
    </row>
    <row r="34" spans="1:22" ht="21" thickBot="1">
      <c r="A34" s="34"/>
      <c r="B34" s="36" t="s">
        <v>99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140"/>
      <c r="Q34" s="141"/>
      <c r="R34" s="142"/>
      <c r="S34" s="143"/>
      <c r="T34" s="159"/>
      <c r="U34" s="159"/>
      <c r="V34" s="159"/>
    </row>
    <row r="35" spans="1:22" ht="20.25">
      <c r="A35" s="6"/>
      <c r="B35" s="37" t="s">
        <v>105</v>
      </c>
      <c r="C35" s="144">
        <f>C33</f>
        <v>43.36666666666667</v>
      </c>
      <c r="D35" s="145"/>
      <c r="E35" s="88"/>
      <c r="F35" s="145"/>
      <c r="G35" s="88"/>
      <c r="H35" s="145"/>
      <c r="I35" s="88"/>
      <c r="J35" s="145"/>
      <c r="K35" s="88"/>
      <c r="L35" s="145"/>
      <c r="M35" s="146"/>
      <c r="N35" s="145"/>
      <c r="O35" s="88">
        <f>O33</f>
        <v>1608.1583397386626</v>
      </c>
      <c r="P35" s="147"/>
      <c r="Q35" s="148"/>
      <c r="R35" s="149"/>
      <c r="S35" s="139">
        <f>O35*C36*12/1000</f>
        <v>836.8856000000001</v>
      </c>
      <c r="T35" s="159"/>
      <c r="U35" s="159"/>
      <c r="V35" s="159"/>
    </row>
    <row r="36" spans="1:22" ht="20.25">
      <c r="A36" s="8">
        <v>9</v>
      </c>
      <c r="B36" s="37" t="s">
        <v>73</v>
      </c>
      <c r="C36" s="144">
        <f>C33</f>
        <v>43.36666666666667</v>
      </c>
      <c r="D36" s="145"/>
      <c r="E36" s="88"/>
      <c r="F36" s="145"/>
      <c r="G36" s="88"/>
      <c r="H36" s="145"/>
      <c r="I36" s="88"/>
      <c r="J36" s="145"/>
      <c r="K36" s="88"/>
      <c r="L36" s="145"/>
      <c r="M36" s="73">
        <f>O33/100*80</f>
        <v>1286.52667179093</v>
      </c>
      <c r="N36" s="149"/>
      <c r="O36" s="88"/>
      <c r="P36" s="147"/>
      <c r="Q36" s="150"/>
      <c r="R36" s="147"/>
      <c r="S36" s="139">
        <f>C36*M36*12/1000</f>
        <v>669.50848</v>
      </c>
      <c r="T36" s="159"/>
      <c r="U36" s="159"/>
      <c r="V36" s="159"/>
    </row>
    <row r="37" spans="1:22" ht="21" thickBot="1">
      <c r="A37" s="22"/>
      <c r="B37" s="38" t="s">
        <v>74</v>
      </c>
      <c r="C37" s="151">
        <f>C33</f>
        <v>43.36666666666667</v>
      </c>
      <c r="D37" s="152"/>
      <c r="E37" s="99"/>
      <c r="F37" s="152"/>
      <c r="G37" s="99"/>
      <c r="H37" s="152"/>
      <c r="I37" s="99"/>
      <c r="J37" s="152"/>
      <c r="K37" s="99"/>
      <c r="L37" s="152"/>
      <c r="M37" s="153"/>
      <c r="N37" s="92">
        <f>O33/100*20</f>
        <v>321.6316679477325</v>
      </c>
      <c r="O37" s="99"/>
      <c r="P37" s="94"/>
      <c r="Q37" s="154"/>
      <c r="R37" s="94"/>
      <c r="S37" s="143">
        <f>C37*N37*12/1000</f>
        <v>167.37712</v>
      </c>
      <c r="T37" s="159"/>
      <c r="U37" s="159"/>
      <c r="V37" s="159"/>
    </row>
    <row r="38" spans="2:22" ht="20.25">
      <c r="B38" s="233" t="s">
        <v>91</v>
      </c>
      <c r="C38" s="235"/>
      <c r="D38" s="235"/>
      <c r="E38" s="235"/>
      <c r="F38" s="235"/>
      <c r="G38" s="235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227"/>
      <c r="T38" s="159"/>
      <c r="U38" s="159"/>
      <c r="V38" s="159"/>
    </row>
    <row r="39" spans="3:22" ht="20.25"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227"/>
      <c r="T39" s="159"/>
      <c r="U39" s="159"/>
      <c r="V39" s="159"/>
    </row>
  </sheetData>
  <mergeCells count="4">
    <mergeCell ref="B19:B20"/>
    <mergeCell ref="B23:B24"/>
    <mergeCell ref="B25:B26"/>
    <mergeCell ref="B28:B29"/>
  </mergeCells>
  <printOptions/>
  <pageMargins left="0.75" right="0.75" top="1" bottom="1" header="0.4921259845" footer="0.492125984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KúPK</dc:creator>
  <cp:keywords/>
  <dc:description/>
  <cp:lastModifiedBy>KúPk</cp:lastModifiedBy>
  <cp:lastPrinted>2006-02-21T12:40:30Z</cp:lastPrinted>
  <dcterms:created xsi:type="dcterms:W3CDTF">2004-03-18T09:42:57Z</dcterms:created>
  <dcterms:modified xsi:type="dcterms:W3CDTF">2006-02-22T06:44:33Z</dcterms:modified>
  <cp:category/>
  <cp:version/>
  <cp:contentType/>
  <cp:contentStatus/>
</cp:coreProperties>
</file>