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15576" windowHeight="11820" firstSheet="7" activeTab="8"/>
  </bookViews>
  <sheets>
    <sheet name="Příloha č. 1" sheetId="1" r:id="rId1"/>
    <sheet name="Příloha č. 2" sheetId="30" r:id="rId2"/>
    <sheet name="Příloha č. 3" sheetId="31" r:id="rId3"/>
    <sheet name="Příloha č. 4" sheetId="2" r:id="rId4"/>
    <sheet name="Příloha č. 5" sheetId="3" r:id="rId5"/>
    <sheet name="Příloha č. 6" sheetId="22" r:id="rId6"/>
    <sheet name="Příloha č. 7" sheetId="12" r:id="rId7"/>
    <sheet name="Příloha č. 8" sheetId="15" r:id="rId8"/>
    <sheet name="Příloha č. 9" sheetId="32" r:id="rId9"/>
    <sheet name="Příloha č. 10" sheetId="16" r:id="rId10"/>
    <sheet name="Příloha č. 11" sheetId="17" r:id="rId11"/>
    <sheet name="Příloha č. 12" sheetId="18" r:id="rId12"/>
    <sheet name="Příloha č. 13" sheetId="19" r:id="rId13"/>
    <sheet name="Příloha č. 14" sheetId="20" r:id="rId14"/>
    <sheet name="Příloha č. 15" sheetId="21" r:id="rId15"/>
    <sheet name="Příloha č. 16" sheetId="23" r:id="rId16"/>
    <sheet name="Příloha č. 17" sheetId="24" r:id="rId17"/>
    <sheet name="Příloha č. 18" sheetId="25" r:id="rId18"/>
    <sheet name="Příloha č. 19" sheetId="26" r:id="rId19"/>
    <sheet name="Příloha č. 20" sheetId="27" r:id="rId20"/>
    <sheet name="Příloha č. 21" sheetId="28" r:id="rId21"/>
    <sheet name="Příloha č. 22" sheetId="29" r:id="rId22"/>
  </sheets>
  <externalReferences>
    <externalReference r:id="rId23"/>
  </externalReferences>
  <definedNames>
    <definedName name="_xlnm.Print_Titles" localSheetId="18">'Příloha č. 19'!$3:$4</definedName>
    <definedName name="_xlnm.Print_Titles" localSheetId="7">'Příloha č. 8'!$3:$3</definedName>
    <definedName name="_xlnm.Print_Area" localSheetId="0">'Příloha č. 1'!$A$1:$I$412</definedName>
    <definedName name="_xlnm.Print_Area" localSheetId="11">'Příloha č. 12'!$A$1:$X$162</definedName>
    <definedName name="_xlnm.Print_Area" localSheetId="4">'Příloha č. 5'!$A$1:$S$28</definedName>
    <definedName name="_xlnm.Print_Area" localSheetId="8">'Příloha č. 9'!$A$1:$F$279</definedName>
  </definedNames>
  <calcPr calcId="125725"/>
</workbook>
</file>

<file path=xl/calcChain.xml><?xml version="1.0" encoding="utf-8"?>
<calcChain xmlns="http://schemas.openxmlformats.org/spreadsheetml/2006/main">
  <c r="F5" i="32"/>
  <c r="C34" i="27"/>
  <c r="B34"/>
  <c r="F277" i="32"/>
  <c r="F276"/>
  <c r="F275"/>
  <c r="F274"/>
  <c r="F273"/>
  <c r="F272"/>
  <c r="F271"/>
  <c r="F270"/>
  <c r="F278" s="1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68" s="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41" s="1"/>
  <c r="E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210" s="1"/>
  <c r="E184"/>
  <c r="F183"/>
  <c r="F182"/>
  <c r="F181"/>
  <c r="F180"/>
  <c r="F179"/>
  <c r="F178"/>
  <c r="F177"/>
  <c r="F176"/>
  <c r="F175"/>
  <c r="F174"/>
  <c r="F173"/>
  <c r="F172"/>
  <c r="F184" s="1"/>
  <c r="F170"/>
  <c r="F169"/>
  <c r="F168"/>
  <c r="F167"/>
  <c r="F166"/>
  <c r="F165"/>
  <c r="F164"/>
  <c r="F163"/>
  <c r="F162"/>
  <c r="F161"/>
  <c r="F160"/>
  <c r="F159"/>
  <c r="F158"/>
  <c r="F171" s="1"/>
  <c r="E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157" s="1"/>
  <c r="E85"/>
  <c r="F84"/>
  <c r="F83"/>
  <c r="F82"/>
  <c r="F81"/>
  <c r="F80"/>
  <c r="F79"/>
  <c r="F78"/>
  <c r="F77"/>
  <c r="F76"/>
  <c r="F75"/>
  <c r="F85" s="1"/>
  <c r="E74"/>
  <c r="E211" s="1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74" s="1"/>
  <c r="F211" s="1"/>
  <c r="E24"/>
  <c r="F23"/>
  <c r="F22"/>
  <c r="F24" s="1"/>
  <c r="E20"/>
  <c r="F19"/>
  <c r="F18"/>
  <c r="F17"/>
  <c r="F16"/>
  <c r="F15"/>
  <c r="F14"/>
  <c r="F13"/>
  <c r="F12"/>
  <c r="F11"/>
  <c r="F10"/>
  <c r="F9"/>
  <c r="F8"/>
  <c r="F7"/>
  <c r="F6"/>
  <c r="F20"/>
  <c r="F42" i="31"/>
  <c r="D42"/>
  <c r="C42"/>
  <c r="F12"/>
  <c r="D12"/>
  <c r="C12"/>
  <c r="V77" i="30"/>
  <c r="U77"/>
  <c r="V67"/>
  <c r="Y67" s="1"/>
  <c r="U67"/>
  <c r="Y66"/>
  <c r="Y64"/>
  <c r="Y62"/>
  <c r="Y61"/>
  <c r="Y60"/>
  <c r="Y58"/>
  <c r="Y57"/>
  <c r="Y56"/>
  <c r="Y34"/>
  <c r="Y32"/>
  <c r="Y31"/>
  <c r="Y27"/>
  <c r="Y23"/>
  <c r="Y22"/>
  <c r="Y16"/>
  <c r="Y15"/>
  <c r="Y14"/>
  <c r="Y13"/>
  <c r="Y12"/>
  <c r="Y11"/>
  <c r="Y10"/>
  <c r="Y9"/>
  <c r="Y8"/>
  <c r="Y7"/>
  <c r="D50" i="29"/>
  <c r="E49"/>
  <c r="D49"/>
  <c r="C49"/>
  <c r="E48"/>
  <c r="D47"/>
  <c r="C47"/>
  <c r="E46"/>
  <c r="E45"/>
  <c r="E44"/>
  <c r="E43"/>
  <c r="E42"/>
  <c r="E41"/>
  <c r="C41"/>
  <c r="E40"/>
  <c r="E39"/>
  <c r="E38"/>
  <c r="E47" s="1"/>
  <c r="E37"/>
  <c r="D36"/>
  <c r="C36"/>
  <c r="E35"/>
  <c r="E34"/>
  <c r="E33"/>
  <c r="E32"/>
  <c r="E31"/>
  <c r="E30"/>
  <c r="E29"/>
  <c r="E28"/>
  <c r="E27"/>
  <c r="E26"/>
  <c r="E53" s="1"/>
  <c r="E25"/>
  <c r="E24"/>
  <c r="E23"/>
  <c r="E22"/>
  <c r="E21"/>
  <c r="E20"/>
  <c r="E19"/>
  <c r="E18"/>
  <c r="E17"/>
  <c r="E16"/>
  <c r="E36" s="1"/>
  <c r="E15"/>
  <c r="D14"/>
  <c r="C14"/>
  <c r="E13"/>
  <c r="E12"/>
  <c r="E52" s="1"/>
  <c r="E11"/>
  <c r="E10"/>
  <c r="E14" s="1"/>
  <c r="E9"/>
  <c r="D8"/>
  <c r="C8"/>
  <c r="C50" s="1"/>
  <c r="E7"/>
  <c r="E6"/>
  <c r="E51" s="1"/>
  <c r="E5"/>
  <c r="P365" i="28"/>
  <c r="R364"/>
  <c r="Q363"/>
  <c r="R363" s="1"/>
  <c r="R365" s="1"/>
  <c r="Q362"/>
  <c r="R361"/>
  <c r="P360"/>
  <c r="P362" s="1"/>
  <c r="Q359"/>
  <c r="R358"/>
  <c r="R359" s="1"/>
  <c r="R383" s="1"/>
  <c r="P358"/>
  <c r="P359" s="1"/>
  <c r="Q357"/>
  <c r="P357"/>
  <c r="R356"/>
  <c r="R355"/>
  <c r="R354"/>
  <c r="R353"/>
  <c r="R357" s="1"/>
  <c r="R382" s="1"/>
  <c r="Q352"/>
  <c r="P352"/>
  <c r="R351"/>
  <c r="R352" s="1"/>
  <c r="R381" s="1"/>
  <c r="Q350"/>
  <c r="P350"/>
  <c r="R349"/>
  <c r="R350" s="1"/>
  <c r="R378" s="1"/>
  <c r="R347"/>
  <c r="P346"/>
  <c r="R346" s="1"/>
  <c r="P345"/>
  <c r="R345" s="1"/>
  <c r="Q343"/>
  <c r="P343"/>
  <c r="R343" s="1"/>
  <c r="R342"/>
  <c r="R341"/>
  <c r="Q340"/>
  <c r="P340"/>
  <c r="R340" s="1"/>
  <c r="R339"/>
  <c r="R338"/>
  <c r="R337"/>
  <c r="Q336"/>
  <c r="P336"/>
  <c r="R336" s="1"/>
  <c r="Q335"/>
  <c r="P335"/>
  <c r="R335" s="1"/>
  <c r="R334"/>
  <c r="R333"/>
  <c r="R332"/>
  <c r="R331"/>
  <c r="Q330"/>
  <c r="P330"/>
  <c r="R330" s="1"/>
  <c r="R329"/>
  <c r="R328"/>
  <c r="R327"/>
  <c r="Q326"/>
  <c r="P326"/>
  <c r="R326" s="1"/>
  <c r="R325"/>
  <c r="Q324"/>
  <c r="P324"/>
  <c r="R324" s="1"/>
  <c r="R323"/>
  <c r="R322"/>
  <c r="Q321"/>
  <c r="P321"/>
  <c r="R321" s="1"/>
  <c r="Q320"/>
  <c r="Q344" s="1"/>
  <c r="P320"/>
  <c r="P344" s="1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Q250"/>
  <c r="Q319" s="1"/>
  <c r="Q348" s="1"/>
  <c r="P250"/>
  <c r="R250" s="1"/>
  <c r="R319" s="1"/>
  <c r="P248"/>
  <c r="R248" s="1"/>
  <c r="P246"/>
  <c r="R246" s="1"/>
  <c r="Q245"/>
  <c r="R244"/>
  <c r="R243"/>
  <c r="R242"/>
  <c r="P241"/>
  <c r="P245" s="1"/>
  <c r="R240"/>
  <c r="Q239"/>
  <c r="P239"/>
  <c r="R238"/>
  <c r="R237"/>
  <c r="R236"/>
  <c r="R235"/>
  <c r="R234"/>
  <c r="R233"/>
  <c r="R232"/>
  <c r="R239" s="1"/>
  <c r="Q231"/>
  <c r="P231"/>
  <c r="R230"/>
  <c r="R231" s="1"/>
  <c r="Q229"/>
  <c r="R228"/>
  <c r="P227"/>
  <c r="P229" s="1"/>
  <c r="Q226"/>
  <c r="P226"/>
  <c r="R225"/>
  <c r="R226" s="1"/>
  <c r="Q224"/>
  <c r="R223"/>
  <c r="R222"/>
  <c r="R221"/>
  <c r="R220"/>
  <c r="R219"/>
  <c r="P219"/>
  <c r="R218"/>
  <c r="R217"/>
  <c r="R216"/>
  <c r="P215"/>
  <c r="R215" s="1"/>
  <c r="R214"/>
  <c r="R213"/>
  <c r="R212"/>
  <c r="R211"/>
  <c r="P210"/>
  <c r="R210" s="1"/>
  <c r="R209"/>
  <c r="R208"/>
  <c r="R207"/>
  <c r="R206"/>
  <c r="R205"/>
  <c r="R204"/>
  <c r="P204"/>
  <c r="R203"/>
  <c r="R202"/>
  <c r="R201"/>
  <c r="R200"/>
  <c r="R199"/>
  <c r="R198"/>
  <c r="R197"/>
  <c r="P196"/>
  <c r="R196" s="1"/>
  <c r="P195"/>
  <c r="R195" s="1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P174"/>
  <c r="R174" s="1"/>
  <c r="R173"/>
  <c r="R172"/>
  <c r="R171"/>
  <c r="R170"/>
  <c r="P169"/>
  <c r="R169" s="1"/>
  <c r="R168"/>
  <c r="R167"/>
  <c r="P166"/>
  <c r="P224" s="1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Q137"/>
  <c r="Q249" s="1"/>
  <c r="R136"/>
  <c r="R135"/>
  <c r="R134"/>
  <c r="R133"/>
  <c r="R132"/>
  <c r="R131"/>
  <c r="R130"/>
  <c r="R129"/>
  <c r="R128"/>
  <c r="P127"/>
  <c r="R127" s="1"/>
  <c r="R126"/>
  <c r="R125"/>
  <c r="R124"/>
  <c r="R123"/>
  <c r="R122"/>
  <c r="R121"/>
  <c r="R120"/>
  <c r="R119"/>
  <c r="R137" s="1"/>
  <c r="P119"/>
  <c r="P137" s="1"/>
  <c r="P249" s="1"/>
  <c r="Q117"/>
  <c r="P117"/>
  <c r="R116"/>
  <c r="R115"/>
  <c r="R117" s="1"/>
  <c r="R114"/>
  <c r="Q114"/>
  <c r="P114"/>
  <c r="R113"/>
  <c r="R112"/>
  <c r="Q112"/>
  <c r="P112"/>
  <c r="R111"/>
  <c r="Q110"/>
  <c r="Q118" s="1"/>
  <c r="P110"/>
  <c r="P118" s="1"/>
  <c r="R109"/>
  <c r="R108"/>
  <c r="R107"/>
  <c r="R106"/>
  <c r="R110" s="1"/>
  <c r="R104"/>
  <c r="P103"/>
  <c r="R103" s="1"/>
  <c r="Q102"/>
  <c r="P102"/>
  <c r="R101"/>
  <c r="R100"/>
  <c r="R102" s="1"/>
  <c r="R99"/>
  <c r="Q99"/>
  <c r="Q105" s="1"/>
  <c r="P99"/>
  <c r="P105" s="1"/>
  <c r="R98"/>
  <c r="R96"/>
  <c r="Q95"/>
  <c r="P95"/>
  <c r="R94"/>
  <c r="R93"/>
  <c r="R92"/>
  <c r="R91"/>
  <c r="R95" s="1"/>
  <c r="Q90"/>
  <c r="P90"/>
  <c r="R89"/>
  <c r="R88"/>
  <c r="R87"/>
  <c r="R86"/>
  <c r="R85"/>
  <c r="R84"/>
  <c r="R83"/>
  <c r="R82"/>
  <c r="R81"/>
  <c r="R80"/>
  <c r="R79"/>
  <c r="R78"/>
  <c r="R77"/>
  <c r="R90" s="1"/>
  <c r="Q76"/>
  <c r="P76"/>
  <c r="R75"/>
  <c r="R74"/>
  <c r="R73"/>
  <c r="R72"/>
  <c r="R71"/>
  <c r="R70"/>
  <c r="R76" s="1"/>
  <c r="Q69"/>
  <c r="P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69" s="1"/>
  <c r="Q44"/>
  <c r="Q97" s="1"/>
  <c r="P44"/>
  <c r="P97" s="1"/>
  <c r="R43"/>
  <c r="R44" s="1"/>
  <c r="Q42"/>
  <c r="R41"/>
  <c r="R380" s="1"/>
  <c r="P41"/>
  <c r="P42" s="1"/>
  <c r="R42" s="1"/>
  <c r="R40"/>
  <c r="R38"/>
  <c r="P38"/>
  <c r="R37"/>
  <c r="R379" s="1"/>
  <c r="P37"/>
  <c r="R36"/>
  <c r="R39" s="1"/>
  <c r="Q36"/>
  <c r="Q39" s="1"/>
  <c r="P36"/>
  <c r="P39" s="1"/>
  <c r="R35"/>
  <c r="P33"/>
  <c r="R33" s="1"/>
  <c r="R31"/>
  <c r="R30"/>
  <c r="R29"/>
  <c r="P29"/>
  <c r="R28"/>
  <c r="P28"/>
  <c r="P32" s="1"/>
  <c r="R27"/>
  <c r="Q27"/>
  <c r="Q32" s="1"/>
  <c r="R26"/>
  <c r="R25"/>
  <c r="R24"/>
  <c r="R32" s="1"/>
  <c r="R372" s="1"/>
  <c r="Q23"/>
  <c r="Q34" s="1"/>
  <c r="P23"/>
  <c r="R22"/>
  <c r="R23" s="1"/>
  <c r="Q20"/>
  <c r="P19"/>
  <c r="P20" s="1"/>
  <c r="Q18"/>
  <c r="R17"/>
  <c r="P17"/>
  <c r="R16"/>
  <c r="P16"/>
  <c r="R15"/>
  <c r="P15"/>
  <c r="R14"/>
  <c r="P14"/>
  <c r="R13"/>
  <c r="P13"/>
  <c r="R12"/>
  <c r="R18" s="1"/>
  <c r="P12"/>
  <c r="P18" s="1"/>
  <c r="Q11"/>
  <c r="Q21" s="1"/>
  <c r="P10"/>
  <c r="R10" s="1"/>
  <c r="P9"/>
  <c r="R9" s="1"/>
  <c r="P8"/>
  <c r="R8" s="1"/>
  <c r="P7"/>
  <c r="R7" s="1"/>
  <c r="P6"/>
  <c r="R6" s="1"/>
  <c r="P5"/>
  <c r="R5" s="1"/>
  <c r="P4"/>
  <c r="P11" s="1"/>
  <c r="B69" i="27"/>
  <c r="C63"/>
  <c r="C69" s="1"/>
  <c r="B35"/>
  <c r="C21"/>
  <c r="B21"/>
  <c r="B22" s="1"/>
  <c r="K811" i="26"/>
  <c r="J811"/>
  <c r="H811"/>
  <c r="F811"/>
  <c r="K809"/>
  <c r="J809"/>
  <c r="H809"/>
  <c r="F809"/>
  <c r="J808"/>
  <c r="H808"/>
  <c r="F808"/>
  <c r="J807"/>
  <c r="H807"/>
  <c r="F807"/>
  <c r="K806"/>
  <c r="J806"/>
  <c r="H806"/>
  <c r="F806"/>
  <c r="K805"/>
  <c r="J805"/>
  <c r="H805"/>
  <c r="F805"/>
  <c r="K804"/>
  <c r="J804"/>
  <c r="H804"/>
  <c r="F804"/>
  <c r="K803"/>
  <c r="J803"/>
  <c r="H803"/>
  <c r="F803"/>
  <c r="K802"/>
  <c r="J802"/>
  <c r="H802"/>
  <c r="F802"/>
  <c r="K801"/>
  <c r="J801"/>
  <c r="H801"/>
  <c r="F801"/>
  <c r="K800"/>
  <c r="J800"/>
  <c r="H800"/>
  <c r="F800"/>
  <c r="K799"/>
  <c r="J799"/>
  <c r="H799"/>
  <c r="F799"/>
  <c r="K798"/>
  <c r="J798"/>
  <c r="H798"/>
  <c r="F798"/>
  <c r="K797"/>
  <c r="J797"/>
  <c r="H797"/>
  <c r="F797"/>
  <c r="K796"/>
  <c r="J796"/>
  <c r="H796"/>
  <c r="F796"/>
  <c r="J795"/>
  <c r="H795"/>
  <c r="F795"/>
  <c r="K794"/>
  <c r="J794"/>
  <c r="H794"/>
  <c r="F794"/>
  <c r="K793"/>
  <c r="J793"/>
  <c r="H793"/>
  <c r="F793"/>
  <c r="K792"/>
  <c r="J792"/>
  <c r="H792"/>
  <c r="F792"/>
  <c r="K791"/>
  <c r="J791"/>
  <c r="H791"/>
  <c r="F791"/>
  <c r="K790"/>
  <c r="J790"/>
  <c r="H790"/>
  <c r="F790"/>
  <c r="K789"/>
  <c r="J789"/>
  <c r="H789"/>
  <c r="F789"/>
  <c r="K788"/>
  <c r="J788"/>
  <c r="H788"/>
  <c r="F788"/>
  <c r="K787"/>
  <c r="J787"/>
  <c r="H787"/>
  <c r="F787"/>
  <c r="K786"/>
  <c r="J786"/>
  <c r="H786"/>
  <c r="F786"/>
  <c r="K785"/>
  <c r="J785"/>
  <c r="H785"/>
  <c r="F785"/>
  <c r="K784"/>
  <c r="J784"/>
  <c r="H784"/>
  <c r="F784"/>
  <c r="K783"/>
  <c r="J783"/>
  <c r="H783"/>
  <c r="F783"/>
  <c r="K782"/>
  <c r="J782"/>
  <c r="H782"/>
  <c r="F782"/>
  <c r="K781"/>
  <c r="J781"/>
  <c r="H781"/>
  <c r="F781"/>
  <c r="K780"/>
  <c r="J780"/>
  <c r="H780"/>
  <c r="F780"/>
  <c r="K779"/>
  <c r="J779"/>
  <c r="H779"/>
  <c r="F779"/>
  <c r="K778"/>
  <c r="J778"/>
  <c r="H778"/>
  <c r="F778"/>
  <c r="K777"/>
  <c r="J777"/>
  <c r="H777"/>
  <c r="F777"/>
  <c r="K776"/>
  <c r="J776"/>
  <c r="H776"/>
  <c r="F776"/>
  <c r="K775"/>
  <c r="J775"/>
  <c r="H775"/>
  <c r="F775"/>
  <c r="K774"/>
  <c r="J774"/>
  <c r="H774"/>
  <c r="F774"/>
  <c r="K773"/>
  <c r="J773"/>
  <c r="H773"/>
  <c r="F773"/>
  <c r="K772"/>
  <c r="J772"/>
  <c r="H772"/>
  <c r="F772"/>
  <c r="K771"/>
  <c r="J771"/>
  <c r="H771"/>
  <c r="F771"/>
  <c r="K770"/>
  <c r="J770"/>
  <c r="H770"/>
  <c r="F770"/>
  <c r="J769"/>
  <c r="H769"/>
  <c r="F769"/>
  <c r="K768"/>
  <c r="J768"/>
  <c r="H768"/>
  <c r="F768"/>
  <c r="K767"/>
  <c r="J767"/>
  <c r="H767"/>
  <c r="F767"/>
  <c r="J766"/>
  <c r="H766"/>
  <c r="F766"/>
  <c r="K765"/>
  <c r="J765"/>
  <c r="H765"/>
  <c r="F765"/>
  <c r="K764"/>
  <c r="J764"/>
  <c r="H764"/>
  <c r="F764"/>
  <c r="K763"/>
  <c r="J763"/>
  <c r="H763"/>
  <c r="F763"/>
  <c r="J762"/>
  <c r="H762"/>
  <c r="F762"/>
  <c r="K761"/>
  <c r="J761"/>
  <c r="H761"/>
  <c r="F761"/>
  <c r="K760"/>
  <c r="J760"/>
  <c r="H760"/>
  <c r="F760"/>
  <c r="K759"/>
  <c r="J759"/>
  <c r="H759"/>
  <c r="F759"/>
  <c r="K758"/>
  <c r="J758"/>
  <c r="H758"/>
  <c r="F758"/>
  <c r="K757"/>
  <c r="J757"/>
  <c r="H757"/>
  <c r="F757"/>
  <c r="K756"/>
  <c r="J756"/>
  <c r="H756"/>
  <c r="F756"/>
  <c r="K755"/>
  <c r="J755"/>
  <c r="H755"/>
  <c r="F755"/>
  <c r="K754"/>
  <c r="J754"/>
  <c r="H754"/>
  <c r="F754"/>
  <c r="K753"/>
  <c r="J753"/>
  <c r="H753"/>
  <c r="F753"/>
  <c r="K752"/>
  <c r="J752"/>
  <c r="H752"/>
  <c r="F752"/>
  <c r="K751"/>
  <c r="J751"/>
  <c r="H751"/>
  <c r="F751"/>
  <c r="K750"/>
  <c r="J750"/>
  <c r="H750"/>
  <c r="F750"/>
  <c r="K749"/>
  <c r="J749"/>
  <c r="H749"/>
  <c r="F749"/>
  <c r="K748"/>
  <c r="J748"/>
  <c r="H748"/>
  <c r="F748"/>
  <c r="K747"/>
  <c r="J747"/>
  <c r="H747"/>
  <c r="F747"/>
  <c r="K746"/>
  <c r="J746"/>
  <c r="H746"/>
  <c r="F746"/>
  <c r="J745"/>
  <c r="H745"/>
  <c r="F745"/>
  <c r="J744"/>
  <c r="H744"/>
  <c r="F744"/>
  <c r="K743"/>
  <c r="J743"/>
  <c r="H743"/>
  <c r="F743"/>
  <c r="K742"/>
  <c r="J742"/>
  <c r="H742"/>
  <c r="F742"/>
  <c r="K741"/>
  <c r="J741"/>
  <c r="H741"/>
  <c r="F741"/>
  <c r="K740"/>
  <c r="J740"/>
  <c r="H740"/>
  <c r="F740"/>
  <c r="K739"/>
  <c r="J739"/>
  <c r="H739"/>
  <c r="F739"/>
  <c r="K738"/>
  <c r="J738"/>
  <c r="H738"/>
  <c r="F738"/>
  <c r="K737"/>
  <c r="J737"/>
  <c r="H737"/>
  <c r="F737"/>
  <c r="K735"/>
  <c r="J735"/>
  <c r="H735"/>
  <c r="F735"/>
  <c r="K734"/>
  <c r="J734"/>
  <c r="H734"/>
  <c r="F734"/>
  <c r="K733"/>
  <c r="J733"/>
  <c r="H733"/>
  <c r="F733"/>
  <c r="K732"/>
  <c r="J732"/>
  <c r="H732"/>
  <c r="F732"/>
  <c r="K731"/>
  <c r="J731"/>
  <c r="H731"/>
  <c r="F731"/>
  <c r="K730"/>
  <c r="J730"/>
  <c r="H730"/>
  <c r="F730"/>
  <c r="K729"/>
  <c r="J729"/>
  <c r="H729"/>
  <c r="F729"/>
  <c r="K728"/>
  <c r="J728"/>
  <c r="H728"/>
  <c r="F728"/>
  <c r="K727"/>
  <c r="J727"/>
  <c r="H727"/>
  <c r="F727"/>
  <c r="K726"/>
  <c r="J726"/>
  <c r="H726"/>
  <c r="F726"/>
  <c r="K725"/>
  <c r="J725"/>
  <c r="H725"/>
  <c r="F725"/>
  <c r="K724"/>
  <c r="J724"/>
  <c r="H724"/>
  <c r="F724"/>
  <c r="K723"/>
  <c r="J723"/>
  <c r="H723"/>
  <c r="F723"/>
  <c r="K722"/>
  <c r="J722"/>
  <c r="H722"/>
  <c r="F722"/>
  <c r="K721"/>
  <c r="J721"/>
  <c r="H721"/>
  <c r="F721"/>
  <c r="K720"/>
  <c r="J720"/>
  <c r="H720"/>
  <c r="F720"/>
  <c r="K719"/>
  <c r="J719"/>
  <c r="H719"/>
  <c r="F719"/>
  <c r="K718"/>
  <c r="J718"/>
  <c r="H718"/>
  <c r="F718"/>
  <c r="K717"/>
  <c r="J717"/>
  <c r="H717"/>
  <c r="F717"/>
  <c r="K716"/>
  <c r="J716"/>
  <c r="H716"/>
  <c r="F716"/>
  <c r="K715"/>
  <c r="J715"/>
  <c r="H715"/>
  <c r="F715"/>
  <c r="K714"/>
  <c r="J714"/>
  <c r="H714"/>
  <c r="F714"/>
  <c r="K713"/>
  <c r="J713"/>
  <c r="H713"/>
  <c r="F713"/>
  <c r="K712"/>
  <c r="J712"/>
  <c r="H712"/>
  <c r="F712"/>
  <c r="K711"/>
  <c r="J711"/>
  <c r="H711"/>
  <c r="F711"/>
  <c r="K710"/>
  <c r="J710"/>
  <c r="H710"/>
  <c r="F710"/>
  <c r="K709"/>
  <c r="J709"/>
  <c r="H709"/>
  <c r="F709"/>
  <c r="K708"/>
  <c r="J708"/>
  <c r="H708"/>
  <c r="F708"/>
  <c r="K707"/>
  <c r="J707"/>
  <c r="H707"/>
  <c r="F707"/>
  <c r="K706"/>
  <c r="J706"/>
  <c r="H706"/>
  <c r="F706"/>
  <c r="K705"/>
  <c r="J705"/>
  <c r="H705"/>
  <c r="F705"/>
  <c r="K704"/>
  <c r="J704"/>
  <c r="H704"/>
  <c r="F704"/>
  <c r="K703"/>
  <c r="J703"/>
  <c r="H703"/>
  <c r="F703"/>
  <c r="K702"/>
  <c r="J702"/>
  <c r="H702"/>
  <c r="F702"/>
  <c r="K701"/>
  <c r="J701"/>
  <c r="H701"/>
  <c r="F701"/>
  <c r="K700"/>
  <c r="J700"/>
  <c r="H700"/>
  <c r="F700"/>
  <c r="K699"/>
  <c r="J699"/>
  <c r="H699"/>
  <c r="F699"/>
  <c r="K698"/>
  <c r="J698"/>
  <c r="H698"/>
  <c r="F698"/>
  <c r="K697"/>
  <c r="J697"/>
  <c r="H697"/>
  <c r="F697"/>
  <c r="K696"/>
  <c r="J696"/>
  <c r="H696"/>
  <c r="F696"/>
  <c r="K695"/>
  <c r="J695"/>
  <c r="H695"/>
  <c r="F695"/>
  <c r="K694"/>
  <c r="J694"/>
  <c r="H694"/>
  <c r="F694"/>
  <c r="K693"/>
  <c r="J693"/>
  <c r="H693"/>
  <c r="F693"/>
  <c r="K692"/>
  <c r="J692"/>
  <c r="H692"/>
  <c r="F692"/>
  <c r="K691"/>
  <c r="J691"/>
  <c r="H691"/>
  <c r="F691"/>
  <c r="K690"/>
  <c r="J690"/>
  <c r="H690"/>
  <c r="F690"/>
  <c r="K689"/>
  <c r="J689"/>
  <c r="H689"/>
  <c r="F689"/>
  <c r="K688"/>
  <c r="J688"/>
  <c r="H688"/>
  <c r="F688"/>
  <c r="K687"/>
  <c r="J687"/>
  <c r="H687"/>
  <c r="F687"/>
  <c r="K686"/>
  <c r="J686"/>
  <c r="H686"/>
  <c r="F686"/>
  <c r="K685"/>
  <c r="J685"/>
  <c r="H685"/>
  <c r="F685"/>
  <c r="K684"/>
  <c r="J684"/>
  <c r="H684"/>
  <c r="F684"/>
  <c r="K683"/>
  <c r="J683"/>
  <c r="H683"/>
  <c r="F683"/>
  <c r="K682"/>
  <c r="J682"/>
  <c r="H682"/>
  <c r="F682"/>
  <c r="K681"/>
  <c r="J681"/>
  <c r="H681"/>
  <c r="F681"/>
  <c r="K680"/>
  <c r="J680"/>
  <c r="H680"/>
  <c r="F680"/>
  <c r="K679"/>
  <c r="J679"/>
  <c r="H679"/>
  <c r="F679"/>
  <c r="K678"/>
  <c r="J678"/>
  <c r="H678"/>
  <c r="F678"/>
  <c r="K677"/>
  <c r="J677"/>
  <c r="H677"/>
  <c r="F677"/>
  <c r="K676"/>
  <c r="J676"/>
  <c r="H676"/>
  <c r="F676"/>
  <c r="K675"/>
  <c r="J675"/>
  <c r="H675"/>
  <c r="F675"/>
  <c r="K674"/>
  <c r="J674"/>
  <c r="H674"/>
  <c r="F674"/>
  <c r="K673"/>
  <c r="J673"/>
  <c r="H673"/>
  <c r="F673"/>
  <c r="K672"/>
  <c r="J672"/>
  <c r="H672"/>
  <c r="F672"/>
  <c r="K671"/>
  <c r="J671"/>
  <c r="H671"/>
  <c r="F671"/>
  <c r="K670"/>
  <c r="J670"/>
  <c r="H670"/>
  <c r="F670"/>
  <c r="K669"/>
  <c r="J669"/>
  <c r="H669"/>
  <c r="F669"/>
  <c r="K668"/>
  <c r="J668"/>
  <c r="H668"/>
  <c r="F668"/>
  <c r="K667"/>
  <c r="J667"/>
  <c r="H667"/>
  <c r="F667"/>
  <c r="K666"/>
  <c r="J666"/>
  <c r="H666"/>
  <c r="F666"/>
  <c r="K665"/>
  <c r="J665"/>
  <c r="H665"/>
  <c r="F665"/>
  <c r="K664"/>
  <c r="J664"/>
  <c r="H664"/>
  <c r="F664"/>
  <c r="K663"/>
  <c r="J663"/>
  <c r="H663"/>
  <c r="F663"/>
  <c r="K662"/>
  <c r="J662"/>
  <c r="H662"/>
  <c r="F662"/>
  <c r="K661"/>
  <c r="J661"/>
  <c r="H661"/>
  <c r="F661"/>
  <c r="K660"/>
  <c r="J660"/>
  <c r="H660"/>
  <c r="F660"/>
  <c r="K659"/>
  <c r="J659"/>
  <c r="H659"/>
  <c r="F659"/>
  <c r="K658"/>
  <c r="J658"/>
  <c r="H658"/>
  <c r="F658"/>
  <c r="K657"/>
  <c r="J657"/>
  <c r="H657"/>
  <c r="F657"/>
  <c r="K656"/>
  <c r="J656"/>
  <c r="H656"/>
  <c r="F656"/>
  <c r="K655"/>
  <c r="J655"/>
  <c r="H655"/>
  <c r="F655"/>
  <c r="K654"/>
  <c r="J654"/>
  <c r="H654"/>
  <c r="F654"/>
  <c r="K653"/>
  <c r="J653"/>
  <c r="H653"/>
  <c r="F653"/>
  <c r="K652"/>
  <c r="J652"/>
  <c r="H652"/>
  <c r="F652"/>
  <c r="K651"/>
  <c r="J651"/>
  <c r="H651"/>
  <c r="F651"/>
  <c r="K650"/>
  <c r="J650"/>
  <c r="H650"/>
  <c r="F650"/>
  <c r="K649"/>
  <c r="J649"/>
  <c r="H649"/>
  <c r="F649"/>
  <c r="K648"/>
  <c r="J648"/>
  <c r="H648"/>
  <c r="F648"/>
  <c r="K647"/>
  <c r="J647"/>
  <c r="H647"/>
  <c r="F647"/>
  <c r="K646"/>
  <c r="J646"/>
  <c r="H646"/>
  <c r="F646"/>
  <c r="K645"/>
  <c r="J645"/>
  <c r="H645"/>
  <c r="F645"/>
  <c r="K644"/>
  <c r="J644"/>
  <c r="H644"/>
  <c r="F644"/>
  <c r="K643"/>
  <c r="J643"/>
  <c r="H643"/>
  <c r="F643"/>
  <c r="K642"/>
  <c r="J642"/>
  <c r="H642"/>
  <c r="F642"/>
  <c r="K641"/>
  <c r="J641"/>
  <c r="H641"/>
  <c r="F641"/>
  <c r="K640"/>
  <c r="J640"/>
  <c r="H640"/>
  <c r="F640"/>
  <c r="K639"/>
  <c r="J639"/>
  <c r="H639"/>
  <c r="F639"/>
  <c r="K638"/>
  <c r="J638"/>
  <c r="H638"/>
  <c r="F638"/>
  <c r="K637"/>
  <c r="J637"/>
  <c r="H637"/>
  <c r="F637"/>
  <c r="K636"/>
  <c r="J636"/>
  <c r="H636"/>
  <c r="F636"/>
  <c r="K635"/>
  <c r="J635"/>
  <c r="H635"/>
  <c r="F635"/>
  <c r="K634"/>
  <c r="J634"/>
  <c r="H634"/>
  <c r="F634"/>
  <c r="K633"/>
  <c r="J633"/>
  <c r="H633"/>
  <c r="F633"/>
  <c r="K632"/>
  <c r="J632"/>
  <c r="H632"/>
  <c r="F632"/>
  <c r="K631"/>
  <c r="J631"/>
  <c r="H631"/>
  <c r="F631"/>
  <c r="K630"/>
  <c r="J630"/>
  <c r="H630"/>
  <c r="F630"/>
  <c r="K629"/>
  <c r="J629"/>
  <c r="H629"/>
  <c r="F629"/>
  <c r="K628"/>
  <c r="J628"/>
  <c r="H628"/>
  <c r="F628"/>
  <c r="K627"/>
  <c r="J627"/>
  <c r="H627"/>
  <c r="F627"/>
  <c r="K626"/>
  <c r="J626"/>
  <c r="H626"/>
  <c r="F626"/>
  <c r="K625"/>
  <c r="J625"/>
  <c r="H625"/>
  <c r="F625"/>
  <c r="K624"/>
  <c r="J624"/>
  <c r="H624"/>
  <c r="F624"/>
  <c r="K623"/>
  <c r="J623"/>
  <c r="H623"/>
  <c r="F623"/>
  <c r="K622"/>
  <c r="J622"/>
  <c r="H622"/>
  <c r="F622"/>
  <c r="K621"/>
  <c r="J621"/>
  <c r="H621"/>
  <c r="F621"/>
  <c r="K620"/>
  <c r="J620"/>
  <c r="H620"/>
  <c r="F620"/>
  <c r="K619"/>
  <c r="J619"/>
  <c r="H619"/>
  <c r="F619"/>
  <c r="K618"/>
  <c r="J618"/>
  <c r="H618"/>
  <c r="F618"/>
  <c r="K617"/>
  <c r="J617"/>
  <c r="H617"/>
  <c r="F617"/>
  <c r="K616"/>
  <c r="J616"/>
  <c r="H616"/>
  <c r="F616"/>
  <c r="K615"/>
  <c r="J615"/>
  <c r="H615"/>
  <c r="F615"/>
  <c r="K614"/>
  <c r="J614"/>
  <c r="H614"/>
  <c r="F614"/>
  <c r="K613"/>
  <c r="J613"/>
  <c r="H613"/>
  <c r="F613"/>
  <c r="K611"/>
  <c r="J611"/>
  <c r="H611"/>
  <c r="F611"/>
  <c r="K610"/>
  <c r="J610"/>
  <c r="H610"/>
  <c r="F610"/>
  <c r="K609"/>
  <c r="J609"/>
  <c r="H609"/>
  <c r="F609"/>
  <c r="K608"/>
  <c r="J608"/>
  <c r="H608"/>
  <c r="F608"/>
  <c r="K607"/>
  <c r="J607"/>
  <c r="H607"/>
  <c r="F607"/>
  <c r="K606"/>
  <c r="J606"/>
  <c r="H606"/>
  <c r="F606"/>
  <c r="K605"/>
  <c r="J605"/>
  <c r="H605"/>
  <c r="F605"/>
  <c r="K604"/>
  <c r="J604"/>
  <c r="H604"/>
  <c r="F604"/>
  <c r="K603"/>
  <c r="J603"/>
  <c r="H603"/>
  <c r="F603"/>
  <c r="K602"/>
  <c r="J602"/>
  <c r="H602"/>
  <c r="F602"/>
  <c r="J601"/>
  <c r="H601"/>
  <c r="F601"/>
  <c r="K600"/>
  <c r="J600"/>
  <c r="H600"/>
  <c r="F600"/>
  <c r="K599"/>
  <c r="J599"/>
  <c r="H599"/>
  <c r="F599"/>
  <c r="K598"/>
  <c r="J598"/>
  <c r="H598"/>
  <c r="F598"/>
  <c r="J597"/>
  <c r="H597"/>
  <c r="F597"/>
  <c r="K596"/>
  <c r="J596"/>
  <c r="H596"/>
  <c r="F596"/>
  <c r="K595"/>
  <c r="J595"/>
  <c r="H595"/>
  <c r="F595"/>
  <c r="K594"/>
  <c r="J594"/>
  <c r="H594"/>
  <c r="F594"/>
  <c r="K593"/>
  <c r="J593"/>
  <c r="H593"/>
  <c r="F593"/>
  <c r="K592"/>
  <c r="J592"/>
  <c r="H592"/>
  <c r="F592"/>
  <c r="K591"/>
  <c r="J591"/>
  <c r="H591"/>
  <c r="F591"/>
  <c r="K590"/>
  <c r="J590"/>
  <c r="H590"/>
  <c r="F590"/>
  <c r="K589"/>
  <c r="J589"/>
  <c r="H589"/>
  <c r="F589"/>
  <c r="K588"/>
  <c r="J588"/>
  <c r="H588"/>
  <c r="F588"/>
  <c r="K587"/>
  <c r="J587"/>
  <c r="H587"/>
  <c r="F587"/>
  <c r="K586"/>
  <c r="J586"/>
  <c r="H586"/>
  <c r="F586"/>
  <c r="K585"/>
  <c r="J585"/>
  <c r="H585"/>
  <c r="F585"/>
  <c r="K584"/>
  <c r="J584"/>
  <c r="H584"/>
  <c r="F584"/>
  <c r="K583"/>
  <c r="J583"/>
  <c r="H583"/>
  <c r="F583"/>
  <c r="K582"/>
  <c r="J582"/>
  <c r="H582"/>
  <c r="F582"/>
  <c r="K581"/>
  <c r="J581"/>
  <c r="H581"/>
  <c r="F581"/>
  <c r="K580"/>
  <c r="J580"/>
  <c r="H580"/>
  <c r="F580"/>
  <c r="K579"/>
  <c r="J579"/>
  <c r="H579"/>
  <c r="F579"/>
  <c r="K578"/>
  <c r="J578"/>
  <c r="H578"/>
  <c r="F578"/>
  <c r="K577"/>
  <c r="J577"/>
  <c r="H577"/>
  <c r="F577"/>
  <c r="K575"/>
  <c r="J575"/>
  <c r="H575"/>
  <c r="F575"/>
  <c r="K574"/>
  <c r="J574"/>
  <c r="H574"/>
  <c r="F574"/>
  <c r="K573"/>
  <c r="J573"/>
  <c r="H573"/>
  <c r="F573"/>
  <c r="K572"/>
  <c r="J572"/>
  <c r="H572"/>
  <c r="F572"/>
  <c r="K571"/>
  <c r="J571"/>
  <c r="H571"/>
  <c r="F571"/>
  <c r="K570"/>
  <c r="J570"/>
  <c r="H570"/>
  <c r="F570"/>
  <c r="K569"/>
  <c r="J569"/>
  <c r="H569"/>
  <c r="F569"/>
  <c r="K568"/>
  <c r="J568"/>
  <c r="H568"/>
  <c r="F568"/>
  <c r="K567"/>
  <c r="J567"/>
  <c r="H567"/>
  <c r="F567"/>
  <c r="K566"/>
  <c r="J566"/>
  <c r="H566"/>
  <c r="F566"/>
  <c r="K565"/>
  <c r="J565"/>
  <c r="H565"/>
  <c r="F565"/>
  <c r="K564"/>
  <c r="J564"/>
  <c r="H564"/>
  <c r="F564"/>
  <c r="K563"/>
  <c r="J563"/>
  <c r="H563"/>
  <c r="F563"/>
  <c r="K562"/>
  <c r="J562"/>
  <c r="H562"/>
  <c r="F562"/>
  <c r="K561"/>
  <c r="J561"/>
  <c r="H561"/>
  <c r="F561"/>
  <c r="K560"/>
  <c r="J560"/>
  <c r="H560"/>
  <c r="F560"/>
  <c r="K559"/>
  <c r="J559"/>
  <c r="H559"/>
  <c r="F559"/>
  <c r="K558"/>
  <c r="J558"/>
  <c r="H558"/>
  <c r="F558"/>
  <c r="K557"/>
  <c r="J557"/>
  <c r="H557"/>
  <c r="F557"/>
  <c r="K556"/>
  <c r="J556"/>
  <c r="H556"/>
  <c r="F556"/>
  <c r="K555"/>
  <c r="J555"/>
  <c r="H555"/>
  <c r="F555"/>
  <c r="K554"/>
  <c r="J554"/>
  <c r="H554"/>
  <c r="F554"/>
  <c r="K553"/>
  <c r="J553"/>
  <c r="H553"/>
  <c r="F553"/>
  <c r="K552"/>
  <c r="J552"/>
  <c r="H552"/>
  <c r="F552"/>
  <c r="K551"/>
  <c r="J551"/>
  <c r="H551"/>
  <c r="F551"/>
  <c r="K550"/>
  <c r="J550"/>
  <c r="H550"/>
  <c r="F550"/>
  <c r="K549"/>
  <c r="J549"/>
  <c r="H549"/>
  <c r="F549"/>
  <c r="K548"/>
  <c r="J548"/>
  <c r="H548"/>
  <c r="F548"/>
  <c r="K547"/>
  <c r="J547"/>
  <c r="H547"/>
  <c r="F547"/>
  <c r="K546"/>
  <c r="J546"/>
  <c r="H546"/>
  <c r="F546"/>
  <c r="K545"/>
  <c r="J545"/>
  <c r="H545"/>
  <c r="F545"/>
  <c r="K544"/>
  <c r="J544"/>
  <c r="H544"/>
  <c r="F544"/>
  <c r="K543"/>
  <c r="J543"/>
  <c r="H543"/>
  <c r="F543"/>
  <c r="K542"/>
  <c r="J542"/>
  <c r="H542"/>
  <c r="F542"/>
  <c r="K541"/>
  <c r="J541"/>
  <c r="H541"/>
  <c r="F541"/>
  <c r="K540"/>
  <c r="J540"/>
  <c r="H540"/>
  <c r="F540"/>
  <c r="K539"/>
  <c r="J539"/>
  <c r="H539"/>
  <c r="F539"/>
  <c r="K538"/>
  <c r="J538"/>
  <c r="H538"/>
  <c r="F538"/>
  <c r="K537"/>
  <c r="J537"/>
  <c r="H537"/>
  <c r="F537"/>
  <c r="K536"/>
  <c r="J536"/>
  <c r="H536"/>
  <c r="F536"/>
  <c r="K535"/>
  <c r="J535"/>
  <c r="H535"/>
  <c r="F535"/>
  <c r="K534"/>
  <c r="J534"/>
  <c r="H534"/>
  <c r="F534"/>
  <c r="K533"/>
  <c r="J533"/>
  <c r="H533"/>
  <c r="F533"/>
  <c r="K532"/>
  <c r="J532"/>
  <c r="H532"/>
  <c r="F532"/>
  <c r="K531"/>
  <c r="J531"/>
  <c r="H531"/>
  <c r="F531"/>
  <c r="K530"/>
  <c r="J530"/>
  <c r="H530"/>
  <c r="F530"/>
  <c r="K529"/>
  <c r="J529"/>
  <c r="H529"/>
  <c r="F529"/>
  <c r="K528"/>
  <c r="J528"/>
  <c r="H528"/>
  <c r="F528"/>
  <c r="K527"/>
  <c r="J527"/>
  <c r="H527"/>
  <c r="F527"/>
  <c r="K526"/>
  <c r="J526"/>
  <c r="H526"/>
  <c r="F526"/>
  <c r="K525"/>
  <c r="J525"/>
  <c r="H525"/>
  <c r="F525"/>
  <c r="K524"/>
  <c r="J524"/>
  <c r="H524"/>
  <c r="F524"/>
  <c r="K523"/>
  <c r="J523"/>
  <c r="H523"/>
  <c r="F523"/>
  <c r="K522"/>
  <c r="J522"/>
  <c r="H522"/>
  <c r="F522"/>
  <c r="K521"/>
  <c r="J521"/>
  <c r="H521"/>
  <c r="F521"/>
  <c r="K520"/>
  <c r="J520"/>
  <c r="H520"/>
  <c r="F520"/>
  <c r="K519"/>
  <c r="J519"/>
  <c r="H519"/>
  <c r="F519"/>
  <c r="K518"/>
  <c r="J518"/>
  <c r="H518"/>
  <c r="F518"/>
  <c r="K517"/>
  <c r="J517"/>
  <c r="H517"/>
  <c r="F517"/>
  <c r="K516"/>
  <c r="J516"/>
  <c r="H516"/>
  <c r="F516"/>
  <c r="K515"/>
  <c r="J515"/>
  <c r="H515"/>
  <c r="F515"/>
  <c r="K514"/>
  <c r="J514"/>
  <c r="H514"/>
  <c r="F514"/>
  <c r="K513"/>
  <c r="J513"/>
  <c r="H513"/>
  <c r="F513"/>
  <c r="K512"/>
  <c r="J512"/>
  <c r="H512"/>
  <c r="F512"/>
  <c r="K511"/>
  <c r="J511"/>
  <c r="H511"/>
  <c r="F511"/>
  <c r="K510"/>
  <c r="J510"/>
  <c r="H510"/>
  <c r="F510"/>
  <c r="K509"/>
  <c r="J509"/>
  <c r="H509"/>
  <c r="F509"/>
  <c r="K508"/>
  <c r="J508"/>
  <c r="H508"/>
  <c r="F508"/>
  <c r="K507"/>
  <c r="J507"/>
  <c r="H507"/>
  <c r="F507"/>
  <c r="K506"/>
  <c r="J506"/>
  <c r="H506"/>
  <c r="F506"/>
  <c r="K505"/>
  <c r="J505"/>
  <c r="H505"/>
  <c r="F505"/>
  <c r="K503"/>
  <c r="J503"/>
  <c r="H503"/>
  <c r="F503"/>
  <c r="K502"/>
  <c r="J502"/>
  <c r="H502"/>
  <c r="F502"/>
  <c r="K501"/>
  <c r="J501"/>
  <c r="H501"/>
  <c r="F501"/>
  <c r="K500"/>
  <c r="J500"/>
  <c r="H500"/>
  <c r="F500"/>
  <c r="K499"/>
  <c r="J499"/>
  <c r="H499"/>
  <c r="F499"/>
  <c r="K498"/>
  <c r="J498"/>
  <c r="H498"/>
  <c r="F498"/>
  <c r="K497"/>
  <c r="J497"/>
  <c r="H497"/>
  <c r="F497"/>
  <c r="K496"/>
  <c r="J496"/>
  <c r="H496"/>
  <c r="F496"/>
  <c r="K495"/>
  <c r="J495"/>
  <c r="H495"/>
  <c r="F495"/>
  <c r="K494"/>
  <c r="J494"/>
  <c r="H494"/>
  <c r="F494"/>
  <c r="K493"/>
  <c r="J493"/>
  <c r="H493"/>
  <c r="F493"/>
  <c r="K492"/>
  <c r="J492"/>
  <c r="H492"/>
  <c r="F492"/>
  <c r="K491"/>
  <c r="J491"/>
  <c r="H491"/>
  <c r="F491"/>
  <c r="K490"/>
  <c r="J490"/>
  <c r="H490"/>
  <c r="F490"/>
  <c r="K489"/>
  <c r="J489"/>
  <c r="H489"/>
  <c r="F489"/>
  <c r="K488"/>
  <c r="J488"/>
  <c r="H488"/>
  <c r="F488"/>
  <c r="K487"/>
  <c r="J487"/>
  <c r="H487"/>
  <c r="F487"/>
  <c r="K486"/>
  <c r="J486"/>
  <c r="H486"/>
  <c r="F486"/>
  <c r="K485"/>
  <c r="J485"/>
  <c r="H485"/>
  <c r="F485"/>
  <c r="K484"/>
  <c r="J484"/>
  <c r="H484"/>
  <c r="F484"/>
  <c r="K483"/>
  <c r="J483"/>
  <c r="H483"/>
  <c r="F483"/>
  <c r="K482"/>
  <c r="J482"/>
  <c r="H482"/>
  <c r="F482"/>
  <c r="K481"/>
  <c r="J481"/>
  <c r="H481"/>
  <c r="F481"/>
  <c r="K480"/>
  <c r="J480"/>
  <c r="H480"/>
  <c r="F480"/>
  <c r="K479"/>
  <c r="J479"/>
  <c r="H479"/>
  <c r="F479"/>
  <c r="K478"/>
  <c r="J478"/>
  <c r="H478"/>
  <c r="F478"/>
  <c r="K477"/>
  <c r="J477"/>
  <c r="H477"/>
  <c r="F477"/>
  <c r="K476"/>
  <c r="J476"/>
  <c r="H476"/>
  <c r="F476"/>
  <c r="J475"/>
  <c r="H475"/>
  <c r="F475"/>
  <c r="K474"/>
  <c r="J474"/>
  <c r="H474"/>
  <c r="F474"/>
  <c r="K473"/>
  <c r="J473"/>
  <c r="H473"/>
  <c r="F473"/>
  <c r="K472"/>
  <c r="J472"/>
  <c r="H472"/>
  <c r="F472"/>
  <c r="K471"/>
  <c r="J471"/>
  <c r="H471"/>
  <c r="F471"/>
  <c r="K470"/>
  <c r="J470"/>
  <c r="H470"/>
  <c r="F470"/>
  <c r="K469"/>
  <c r="J469"/>
  <c r="H469"/>
  <c r="F469"/>
  <c r="K468"/>
  <c r="J468"/>
  <c r="H468"/>
  <c r="F468"/>
  <c r="K467"/>
  <c r="J467"/>
  <c r="H467"/>
  <c r="F467"/>
  <c r="K466"/>
  <c r="J466"/>
  <c r="H466"/>
  <c r="F466"/>
  <c r="K465"/>
  <c r="J465"/>
  <c r="H465"/>
  <c r="F465"/>
  <c r="K464"/>
  <c r="J464"/>
  <c r="H464"/>
  <c r="F464"/>
  <c r="K463"/>
  <c r="J463"/>
  <c r="H463"/>
  <c r="F463"/>
  <c r="K462"/>
  <c r="J462"/>
  <c r="H462"/>
  <c r="F462"/>
  <c r="K461"/>
  <c r="J461"/>
  <c r="H461"/>
  <c r="F461"/>
  <c r="K460"/>
  <c r="J460"/>
  <c r="H460"/>
  <c r="F460"/>
  <c r="K459"/>
  <c r="J459"/>
  <c r="H459"/>
  <c r="F459"/>
  <c r="K458"/>
  <c r="J458"/>
  <c r="H458"/>
  <c r="F458"/>
  <c r="K457"/>
  <c r="J457"/>
  <c r="H457"/>
  <c r="F457"/>
  <c r="K456"/>
  <c r="J456"/>
  <c r="H456"/>
  <c r="F456"/>
  <c r="K455"/>
  <c r="J455"/>
  <c r="H455"/>
  <c r="F455"/>
  <c r="K454"/>
  <c r="J454"/>
  <c r="H454"/>
  <c r="F454"/>
  <c r="K453"/>
  <c r="J453"/>
  <c r="H453"/>
  <c r="F453"/>
  <c r="K452"/>
  <c r="J452"/>
  <c r="H452"/>
  <c r="F452"/>
  <c r="K451"/>
  <c r="J451"/>
  <c r="H451"/>
  <c r="F451"/>
  <c r="K450"/>
  <c r="J450"/>
  <c r="H450"/>
  <c r="F450"/>
  <c r="K449"/>
  <c r="J449"/>
  <c r="H449"/>
  <c r="F449"/>
  <c r="K448"/>
  <c r="J448"/>
  <c r="H448"/>
  <c r="F448"/>
  <c r="K447"/>
  <c r="J447"/>
  <c r="H447"/>
  <c r="F447"/>
  <c r="K446"/>
  <c r="J446"/>
  <c r="H446"/>
  <c r="F446"/>
  <c r="K445"/>
  <c r="J445"/>
  <c r="H445"/>
  <c r="F445"/>
  <c r="K444"/>
  <c r="J444"/>
  <c r="H444"/>
  <c r="F444"/>
  <c r="K443"/>
  <c r="J443"/>
  <c r="H443"/>
  <c r="F443"/>
  <c r="K442"/>
  <c r="J442"/>
  <c r="H442"/>
  <c r="F442"/>
  <c r="K441"/>
  <c r="J441"/>
  <c r="H441"/>
  <c r="F441"/>
  <c r="K440"/>
  <c r="J440"/>
  <c r="H440"/>
  <c r="F440"/>
  <c r="K439"/>
  <c r="J439"/>
  <c r="H439"/>
  <c r="F439"/>
  <c r="K438"/>
  <c r="J438"/>
  <c r="H438"/>
  <c r="F438"/>
  <c r="K437"/>
  <c r="J437"/>
  <c r="H437"/>
  <c r="F437"/>
  <c r="K436"/>
  <c r="J436"/>
  <c r="H436"/>
  <c r="F436"/>
  <c r="K435"/>
  <c r="J435"/>
  <c r="H435"/>
  <c r="F435"/>
  <c r="K434"/>
  <c r="J434"/>
  <c r="H434"/>
  <c r="F434"/>
  <c r="K433"/>
  <c r="J433"/>
  <c r="H433"/>
  <c r="F433"/>
  <c r="K432"/>
  <c r="J432"/>
  <c r="H432"/>
  <c r="F432"/>
  <c r="K431"/>
  <c r="J431"/>
  <c r="H431"/>
  <c r="F431"/>
  <c r="J430"/>
  <c r="H430"/>
  <c r="F430"/>
  <c r="J429"/>
  <c r="H429"/>
  <c r="F429"/>
  <c r="K428"/>
  <c r="J428"/>
  <c r="H428"/>
  <c r="F428"/>
  <c r="J427"/>
  <c r="H427"/>
  <c r="F427"/>
  <c r="J426"/>
  <c r="H426"/>
  <c r="F426"/>
  <c r="J425"/>
  <c r="H425"/>
  <c r="F425"/>
  <c r="J424"/>
  <c r="H424"/>
  <c r="F424"/>
  <c r="K423"/>
  <c r="J423"/>
  <c r="H423"/>
  <c r="F423"/>
  <c r="K422"/>
  <c r="J422"/>
  <c r="H422"/>
  <c r="F422"/>
  <c r="K421"/>
  <c r="J421"/>
  <c r="H421"/>
  <c r="F421"/>
  <c r="K420"/>
  <c r="J420"/>
  <c r="H420"/>
  <c r="F420"/>
  <c r="K419"/>
  <c r="J419"/>
  <c r="H419"/>
  <c r="F419"/>
  <c r="K418"/>
  <c r="J418"/>
  <c r="H418"/>
  <c r="F418"/>
  <c r="K417"/>
  <c r="J417"/>
  <c r="H417"/>
  <c r="F417"/>
  <c r="K416"/>
  <c r="J416"/>
  <c r="H416"/>
  <c r="F416"/>
  <c r="K415"/>
  <c r="J415"/>
  <c r="H415"/>
  <c r="F415"/>
  <c r="K414"/>
  <c r="J414"/>
  <c r="H414"/>
  <c r="F414"/>
  <c r="K413"/>
  <c r="J413"/>
  <c r="H413"/>
  <c r="F413"/>
  <c r="K412"/>
  <c r="J412"/>
  <c r="H412"/>
  <c r="F412"/>
  <c r="K410"/>
  <c r="J410"/>
  <c r="H410"/>
  <c r="F410"/>
  <c r="K409"/>
  <c r="J409"/>
  <c r="H409"/>
  <c r="F409"/>
  <c r="K408"/>
  <c r="J408"/>
  <c r="H408"/>
  <c r="F408"/>
  <c r="K407"/>
  <c r="J407"/>
  <c r="H407"/>
  <c r="F407"/>
  <c r="K406"/>
  <c r="J406"/>
  <c r="H406"/>
  <c r="F406"/>
  <c r="K405"/>
  <c r="J405"/>
  <c r="H405"/>
  <c r="F405"/>
  <c r="K404"/>
  <c r="J404"/>
  <c r="H404"/>
  <c r="F404"/>
  <c r="K403"/>
  <c r="J403"/>
  <c r="H403"/>
  <c r="F403"/>
  <c r="K402"/>
  <c r="J402"/>
  <c r="H402"/>
  <c r="F402"/>
  <c r="K401"/>
  <c r="J401"/>
  <c r="H401"/>
  <c r="F401"/>
  <c r="K400"/>
  <c r="J400"/>
  <c r="H400"/>
  <c r="F400"/>
  <c r="K399"/>
  <c r="J399"/>
  <c r="H399"/>
  <c r="F399"/>
  <c r="K398"/>
  <c r="J398"/>
  <c r="H398"/>
  <c r="F398"/>
  <c r="K397"/>
  <c r="J397"/>
  <c r="H397"/>
  <c r="F397"/>
  <c r="K396"/>
  <c r="J396"/>
  <c r="H396"/>
  <c r="F396"/>
  <c r="K395"/>
  <c r="J395"/>
  <c r="H395"/>
  <c r="F395"/>
  <c r="K394"/>
  <c r="J394"/>
  <c r="H394"/>
  <c r="F394"/>
  <c r="K393"/>
  <c r="J393"/>
  <c r="H393"/>
  <c r="F393"/>
  <c r="K392"/>
  <c r="J392"/>
  <c r="H392"/>
  <c r="F392"/>
  <c r="K391"/>
  <c r="J391"/>
  <c r="H391"/>
  <c r="F391"/>
  <c r="K390"/>
  <c r="J390"/>
  <c r="H390"/>
  <c r="F390"/>
  <c r="K389"/>
  <c r="J389"/>
  <c r="H389"/>
  <c r="F389"/>
  <c r="K388"/>
  <c r="J388"/>
  <c r="H388"/>
  <c r="F388"/>
  <c r="K387"/>
  <c r="J387"/>
  <c r="H387"/>
  <c r="F387"/>
  <c r="K386"/>
  <c r="J386"/>
  <c r="H386"/>
  <c r="F386"/>
  <c r="K385"/>
  <c r="J385"/>
  <c r="H385"/>
  <c r="F385"/>
  <c r="K384"/>
  <c r="J384"/>
  <c r="H384"/>
  <c r="F384"/>
  <c r="K383"/>
  <c r="J383"/>
  <c r="H383"/>
  <c r="F383"/>
  <c r="K382"/>
  <c r="J382"/>
  <c r="H382"/>
  <c r="F382"/>
  <c r="K381"/>
  <c r="J381"/>
  <c r="H381"/>
  <c r="F381"/>
  <c r="K380"/>
  <c r="J380"/>
  <c r="H380"/>
  <c r="F380"/>
  <c r="K379"/>
  <c r="J379"/>
  <c r="H379"/>
  <c r="F379"/>
  <c r="K378"/>
  <c r="J378"/>
  <c r="H378"/>
  <c r="F378"/>
  <c r="K377"/>
  <c r="J377"/>
  <c r="H377"/>
  <c r="F377"/>
  <c r="K376"/>
  <c r="J376"/>
  <c r="H376"/>
  <c r="F376"/>
  <c r="K375"/>
  <c r="J375"/>
  <c r="H375"/>
  <c r="F375"/>
  <c r="K374"/>
  <c r="J374"/>
  <c r="H374"/>
  <c r="F374"/>
  <c r="K373"/>
  <c r="J373"/>
  <c r="H373"/>
  <c r="F373"/>
  <c r="K372"/>
  <c r="J372"/>
  <c r="H372"/>
  <c r="F372"/>
  <c r="K371"/>
  <c r="J371"/>
  <c r="H371"/>
  <c r="F371"/>
  <c r="K370"/>
  <c r="J370"/>
  <c r="H370"/>
  <c r="F370"/>
  <c r="K369"/>
  <c r="J369"/>
  <c r="H369"/>
  <c r="F369"/>
  <c r="K368"/>
  <c r="J368"/>
  <c r="H368"/>
  <c r="F368"/>
  <c r="K367"/>
  <c r="J367"/>
  <c r="H367"/>
  <c r="F367"/>
  <c r="K366"/>
  <c r="J366"/>
  <c r="H366"/>
  <c r="F366"/>
  <c r="K365"/>
  <c r="J365"/>
  <c r="H365"/>
  <c r="F365"/>
  <c r="K364"/>
  <c r="J364"/>
  <c r="H364"/>
  <c r="F364"/>
  <c r="K363"/>
  <c r="J363"/>
  <c r="H363"/>
  <c r="F363"/>
  <c r="K362"/>
  <c r="J362"/>
  <c r="H362"/>
  <c r="F362"/>
  <c r="K361"/>
  <c r="J361"/>
  <c r="H361"/>
  <c r="F361"/>
  <c r="K360"/>
  <c r="J360"/>
  <c r="H360"/>
  <c r="F360"/>
  <c r="K359"/>
  <c r="J359"/>
  <c r="H359"/>
  <c r="F359"/>
  <c r="K358"/>
  <c r="J358"/>
  <c r="H358"/>
  <c r="F358"/>
  <c r="K357"/>
  <c r="J357"/>
  <c r="H357"/>
  <c r="F357"/>
  <c r="K356"/>
  <c r="J356"/>
  <c r="H356"/>
  <c r="F356"/>
  <c r="K355"/>
  <c r="J355"/>
  <c r="H355"/>
  <c r="F355"/>
  <c r="K354"/>
  <c r="J354"/>
  <c r="H354"/>
  <c r="F354"/>
  <c r="K353"/>
  <c r="J353"/>
  <c r="H353"/>
  <c r="F353"/>
  <c r="K352"/>
  <c r="J352"/>
  <c r="H352"/>
  <c r="F352"/>
  <c r="K351"/>
  <c r="J351"/>
  <c r="H351"/>
  <c r="F351"/>
  <c r="K350"/>
  <c r="J350"/>
  <c r="H350"/>
  <c r="F350"/>
  <c r="K349"/>
  <c r="J349"/>
  <c r="H349"/>
  <c r="F349"/>
  <c r="K348"/>
  <c r="J348"/>
  <c r="H348"/>
  <c r="F348"/>
  <c r="K347"/>
  <c r="J347"/>
  <c r="H347"/>
  <c r="F347"/>
  <c r="K346"/>
  <c r="J346"/>
  <c r="H346"/>
  <c r="F346"/>
  <c r="K345"/>
  <c r="J345"/>
  <c r="H345"/>
  <c r="F345"/>
  <c r="K344"/>
  <c r="J344"/>
  <c r="H344"/>
  <c r="F344"/>
  <c r="K343"/>
  <c r="J343"/>
  <c r="H343"/>
  <c r="F343"/>
  <c r="K342"/>
  <c r="J342"/>
  <c r="H342"/>
  <c r="F342"/>
  <c r="K341"/>
  <c r="J341"/>
  <c r="H341"/>
  <c r="F341"/>
  <c r="K340"/>
  <c r="J340"/>
  <c r="H340"/>
  <c r="F340"/>
  <c r="K339"/>
  <c r="J339"/>
  <c r="H339"/>
  <c r="F339"/>
  <c r="K338"/>
  <c r="J338"/>
  <c r="H338"/>
  <c r="F338"/>
  <c r="K337"/>
  <c r="J337"/>
  <c r="H337"/>
  <c r="F337"/>
  <c r="K336"/>
  <c r="J336"/>
  <c r="H336"/>
  <c r="F336"/>
  <c r="K335"/>
  <c r="J335"/>
  <c r="H335"/>
  <c r="F335"/>
  <c r="K334"/>
  <c r="J334"/>
  <c r="H334"/>
  <c r="F334"/>
  <c r="K333"/>
  <c r="J333"/>
  <c r="H333"/>
  <c r="F333"/>
  <c r="K332"/>
  <c r="J332"/>
  <c r="H332"/>
  <c r="F332"/>
  <c r="K331"/>
  <c r="J331"/>
  <c r="H331"/>
  <c r="F331"/>
  <c r="K330"/>
  <c r="J330"/>
  <c r="H330"/>
  <c r="F330"/>
  <c r="K329"/>
  <c r="J329"/>
  <c r="H329"/>
  <c r="F329"/>
  <c r="K328"/>
  <c r="J328"/>
  <c r="H328"/>
  <c r="F328"/>
  <c r="K327"/>
  <c r="J327"/>
  <c r="H327"/>
  <c r="F327"/>
  <c r="K326"/>
  <c r="J326"/>
  <c r="H326"/>
  <c r="F326"/>
  <c r="K325"/>
  <c r="J325"/>
  <c r="H325"/>
  <c r="F325"/>
  <c r="K324"/>
  <c r="J324"/>
  <c r="H324"/>
  <c r="F324"/>
  <c r="K323"/>
  <c r="J323"/>
  <c r="H323"/>
  <c r="F323"/>
  <c r="K322"/>
  <c r="J322"/>
  <c r="H322"/>
  <c r="F322"/>
  <c r="K321"/>
  <c r="J321"/>
  <c r="H321"/>
  <c r="F321"/>
  <c r="K320"/>
  <c r="J320"/>
  <c r="H320"/>
  <c r="F320"/>
  <c r="K319"/>
  <c r="J319"/>
  <c r="H319"/>
  <c r="F319"/>
  <c r="K318"/>
  <c r="J318"/>
  <c r="H318"/>
  <c r="F318"/>
  <c r="K316"/>
  <c r="J316"/>
  <c r="H316"/>
  <c r="F316"/>
  <c r="K315"/>
  <c r="J315"/>
  <c r="H315"/>
  <c r="F315"/>
  <c r="K314"/>
  <c r="J314"/>
  <c r="H314"/>
  <c r="F314"/>
  <c r="K313"/>
  <c r="J313"/>
  <c r="H313"/>
  <c r="F313"/>
  <c r="K312"/>
  <c r="J312"/>
  <c r="H312"/>
  <c r="F312"/>
  <c r="K311"/>
  <c r="J311"/>
  <c r="H311"/>
  <c r="F311"/>
  <c r="K310"/>
  <c r="J310"/>
  <c r="H310"/>
  <c r="F310"/>
  <c r="K309"/>
  <c r="J309"/>
  <c r="H309"/>
  <c r="F309"/>
  <c r="K308"/>
  <c r="J308"/>
  <c r="H308"/>
  <c r="F308"/>
  <c r="K307"/>
  <c r="J307"/>
  <c r="H307"/>
  <c r="F307"/>
  <c r="K306"/>
  <c r="J306"/>
  <c r="H306"/>
  <c r="F306"/>
  <c r="K305"/>
  <c r="J305"/>
  <c r="H305"/>
  <c r="F305"/>
  <c r="K304"/>
  <c r="J304"/>
  <c r="H304"/>
  <c r="F304"/>
  <c r="K303"/>
  <c r="J303"/>
  <c r="H303"/>
  <c r="F303"/>
  <c r="K302"/>
  <c r="J302"/>
  <c r="H302"/>
  <c r="F302"/>
  <c r="K301"/>
  <c r="J301"/>
  <c r="H301"/>
  <c r="F301"/>
  <c r="K300"/>
  <c r="J300"/>
  <c r="H300"/>
  <c r="F300"/>
  <c r="K299"/>
  <c r="J299"/>
  <c r="H299"/>
  <c r="F299"/>
  <c r="K298"/>
  <c r="J298"/>
  <c r="H298"/>
  <c r="F298"/>
  <c r="K297"/>
  <c r="J297"/>
  <c r="H297"/>
  <c r="F297"/>
  <c r="K296"/>
  <c r="J296"/>
  <c r="H296"/>
  <c r="F296"/>
  <c r="K295"/>
  <c r="J295"/>
  <c r="H295"/>
  <c r="F295"/>
  <c r="K294"/>
  <c r="J294"/>
  <c r="H294"/>
  <c r="F294"/>
  <c r="K293"/>
  <c r="J293"/>
  <c r="H293"/>
  <c r="F293"/>
  <c r="K292"/>
  <c r="J292"/>
  <c r="H292"/>
  <c r="F292"/>
  <c r="K291"/>
  <c r="J291"/>
  <c r="H291"/>
  <c r="F291"/>
  <c r="K290"/>
  <c r="J290"/>
  <c r="H290"/>
  <c r="F290"/>
  <c r="K289"/>
  <c r="J289"/>
  <c r="H289"/>
  <c r="F289"/>
  <c r="K288"/>
  <c r="J288"/>
  <c r="H288"/>
  <c r="F288"/>
  <c r="K287"/>
  <c r="J287"/>
  <c r="H287"/>
  <c r="F287"/>
  <c r="K286"/>
  <c r="J286"/>
  <c r="H286"/>
  <c r="F286"/>
  <c r="K285"/>
  <c r="J285"/>
  <c r="H285"/>
  <c r="F285"/>
  <c r="K284"/>
  <c r="J284"/>
  <c r="H284"/>
  <c r="F284"/>
  <c r="K283"/>
  <c r="J283"/>
  <c r="H283"/>
  <c r="F283"/>
  <c r="K282"/>
  <c r="J282"/>
  <c r="H282"/>
  <c r="F282"/>
  <c r="K281"/>
  <c r="J281"/>
  <c r="H281"/>
  <c r="F281"/>
  <c r="K280"/>
  <c r="J280"/>
  <c r="H280"/>
  <c r="F280"/>
  <c r="K279"/>
  <c r="J279"/>
  <c r="H279"/>
  <c r="F279"/>
  <c r="K278"/>
  <c r="J278"/>
  <c r="H278"/>
  <c r="F278"/>
  <c r="K277"/>
  <c r="J277"/>
  <c r="H277"/>
  <c r="F277"/>
  <c r="K276"/>
  <c r="J276"/>
  <c r="H276"/>
  <c r="F276"/>
  <c r="K275"/>
  <c r="J275"/>
  <c r="H275"/>
  <c r="F275"/>
  <c r="K274"/>
  <c r="J274"/>
  <c r="H274"/>
  <c r="F274"/>
  <c r="K273"/>
  <c r="J273"/>
  <c r="H273"/>
  <c r="F273"/>
  <c r="K272"/>
  <c r="J272"/>
  <c r="H272"/>
  <c r="F272"/>
  <c r="K271"/>
  <c r="J271"/>
  <c r="H271"/>
  <c r="F271"/>
  <c r="K270"/>
  <c r="J270"/>
  <c r="H270"/>
  <c r="F270"/>
  <c r="K269"/>
  <c r="J269"/>
  <c r="H269"/>
  <c r="F269"/>
  <c r="K268"/>
  <c r="J268"/>
  <c r="H268"/>
  <c r="F268"/>
  <c r="K267"/>
  <c r="J267"/>
  <c r="H267"/>
  <c r="F267"/>
  <c r="K266"/>
  <c r="J266"/>
  <c r="H266"/>
  <c r="F266"/>
  <c r="K265"/>
  <c r="J265"/>
  <c r="H265"/>
  <c r="F265"/>
  <c r="K264"/>
  <c r="J264"/>
  <c r="H264"/>
  <c r="F264"/>
  <c r="K263"/>
  <c r="J263"/>
  <c r="H263"/>
  <c r="F263"/>
  <c r="K262"/>
  <c r="J262"/>
  <c r="H262"/>
  <c r="F262"/>
  <c r="K261"/>
  <c r="J261"/>
  <c r="H261"/>
  <c r="F261"/>
  <c r="K260"/>
  <c r="J260"/>
  <c r="H260"/>
  <c r="F260"/>
  <c r="K259"/>
  <c r="J259"/>
  <c r="H259"/>
  <c r="F259"/>
  <c r="K258"/>
  <c r="J258"/>
  <c r="H258"/>
  <c r="F258"/>
  <c r="K257"/>
  <c r="J257"/>
  <c r="H257"/>
  <c r="F257"/>
  <c r="K256"/>
  <c r="J256"/>
  <c r="H256"/>
  <c r="F256"/>
  <c r="K255"/>
  <c r="J255"/>
  <c r="H255"/>
  <c r="F255"/>
  <c r="K254"/>
  <c r="J254"/>
  <c r="H254"/>
  <c r="F254"/>
  <c r="K253"/>
  <c r="J253"/>
  <c r="H253"/>
  <c r="F253"/>
  <c r="K252"/>
  <c r="J252"/>
  <c r="H252"/>
  <c r="F252"/>
  <c r="K251"/>
  <c r="J251"/>
  <c r="H251"/>
  <c r="F251"/>
  <c r="K250"/>
  <c r="J250"/>
  <c r="H250"/>
  <c r="F250"/>
  <c r="K249"/>
  <c r="J249"/>
  <c r="H249"/>
  <c r="F249"/>
  <c r="K248"/>
  <c r="J248"/>
  <c r="H248"/>
  <c r="F248"/>
  <c r="K247"/>
  <c r="J247"/>
  <c r="H247"/>
  <c r="F247"/>
  <c r="K245"/>
  <c r="J245"/>
  <c r="H245"/>
  <c r="F245"/>
  <c r="K244"/>
  <c r="J244"/>
  <c r="H244"/>
  <c r="F244"/>
  <c r="J243"/>
  <c r="H243"/>
  <c r="F243"/>
  <c r="K242"/>
  <c r="J242"/>
  <c r="H242"/>
  <c r="F242"/>
  <c r="K241"/>
  <c r="J241"/>
  <c r="H241"/>
  <c r="F241"/>
  <c r="K240"/>
  <c r="J240"/>
  <c r="H240"/>
  <c r="F240"/>
  <c r="K239"/>
  <c r="J239"/>
  <c r="H239"/>
  <c r="F239"/>
  <c r="J238"/>
  <c r="H238"/>
  <c r="F238"/>
  <c r="K237"/>
  <c r="J237"/>
  <c r="H237"/>
  <c r="F237"/>
  <c r="J236"/>
  <c r="H236"/>
  <c r="F236"/>
  <c r="K235"/>
  <c r="J235"/>
  <c r="H235"/>
  <c r="F235"/>
  <c r="K234"/>
  <c r="J234"/>
  <c r="H234"/>
  <c r="F234"/>
  <c r="K233"/>
  <c r="J233"/>
  <c r="H233"/>
  <c r="F233"/>
  <c r="K232"/>
  <c r="J232"/>
  <c r="H232"/>
  <c r="F232"/>
  <c r="K231"/>
  <c r="J231"/>
  <c r="H231"/>
  <c r="F231"/>
  <c r="K230"/>
  <c r="J230"/>
  <c r="H230"/>
  <c r="F230"/>
  <c r="J229"/>
  <c r="H229"/>
  <c r="F229"/>
  <c r="K228"/>
  <c r="J228"/>
  <c r="H228"/>
  <c r="F228"/>
  <c r="K227"/>
  <c r="J227"/>
  <c r="H227"/>
  <c r="F227"/>
  <c r="K226"/>
  <c r="J226"/>
  <c r="H226"/>
  <c r="F226"/>
  <c r="K225"/>
  <c r="J225"/>
  <c r="H225"/>
  <c r="F225"/>
  <c r="K224"/>
  <c r="J224"/>
  <c r="H224"/>
  <c r="F224"/>
  <c r="K223"/>
  <c r="J223"/>
  <c r="H223"/>
  <c r="F223"/>
  <c r="K221"/>
  <c r="J221"/>
  <c r="H221"/>
  <c r="F221"/>
  <c r="K220"/>
  <c r="J220"/>
  <c r="H220"/>
  <c r="F220"/>
  <c r="K219"/>
  <c r="J219"/>
  <c r="H219"/>
  <c r="F219"/>
  <c r="K218"/>
  <c r="J218"/>
  <c r="H218"/>
  <c r="F218"/>
  <c r="K217"/>
  <c r="J217"/>
  <c r="H217"/>
  <c r="F217"/>
  <c r="K216"/>
  <c r="J216"/>
  <c r="H216"/>
  <c r="F216"/>
  <c r="K215"/>
  <c r="J215"/>
  <c r="H215"/>
  <c r="F215"/>
  <c r="K214"/>
  <c r="J214"/>
  <c r="H214"/>
  <c r="F214"/>
  <c r="K213"/>
  <c r="J213"/>
  <c r="H213"/>
  <c r="F213"/>
  <c r="K212"/>
  <c r="J212"/>
  <c r="H212"/>
  <c r="F212"/>
  <c r="K211"/>
  <c r="J211"/>
  <c r="H211"/>
  <c r="F211"/>
  <c r="K210"/>
  <c r="J210"/>
  <c r="H210"/>
  <c r="F210"/>
  <c r="K209"/>
  <c r="J209"/>
  <c r="H209"/>
  <c r="F209"/>
  <c r="K208"/>
  <c r="J208"/>
  <c r="H208"/>
  <c r="F208"/>
  <c r="K207"/>
  <c r="J207"/>
  <c r="H207"/>
  <c r="F207"/>
  <c r="K206"/>
  <c r="J206"/>
  <c r="H206"/>
  <c r="F206"/>
  <c r="K205"/>
  <c r="J205"/>
  <c r="H205"/>
  <c r="F205"/>
  <c r="K204"/>
  <c r="J204"/>
  <c r="H204"/>
  <c r="F204"/>
  <c r="K203"/>
  <c r="J203"/>
  <c r="H203"/>
  <c r="F203"/>
  <c r="K202"/>
  <c r="J202"/>
  <c r="H202"/>
  <c r="F202"/>
  <c r="K201"/>
  <c r="J201"/>
  <c r="H201"/>
  <c r="F201"/>
  <c r="K200"/>
  <c r="J200"/>
  <c r="H200"/>
  <c r="F200"/>
  <c r="K199"/>
  <c r="J199"/>
  <c r="H199"/>
  <c r="F199"/>
  <c r="K198"/>
  <c r="J198"/>
  <c r="H198"/>
  <c r="F198"/>
  <c r="K197"/>
  <c r="J197"/>
  <c r="H197"/>
  <c r="F197"/>
  <c r="K196"/>
  <c r="J196"/>
  <c r="H196"/>
  <c r="F196"/>
  <c r="K195"/>
  <c r="J195"/>
  <c r="H195"/>
  <c r="F195"/>
  <c r="K194"/>
  <c r="J194"/>
  <c r="H194"/>
  <c r="F194"/>
  <c r="K193"/>
  <c r="J193"/>
  <c r="H193"/>
  <c r="F193"/>
  <c r="K192"/>
  <c r="J192"/>
  <c r="H192"/>
  <c r="F192"/>
  <c r="K191"/>
  <c r="J191"/>
  <c r="H191"/>
  <c r="F191"/>
  <c r="K190"/>
  <c r="J190"/>
  <c r="H190"/>
  <c r="F190"/>
  <c r="K189"/>
  <c r="J189"/>
  <c r="H189"/>
  <c r="F189"/>
  <c r="K188"/>
  <c r="J188"/>
  <c r="H188"/>
  <c r="F188"/>
  <c r="K186"/>
  <c r="J186"/>
  <c r="H186"/>
  <c r="F186"/>
  <c r="K185"/>
  <c r="J185"/>
  <c r="H185"/>
  <c r="F185"/>
  <c r="K184"/>
  <c r="J184"/>
  <c r="H184"/>
  <c r="F184"/>
  <c r="J183"/>
  <c r="H183"/>
  <c r="F183"/>
  <c r="K182"/>
  <c r="J182"/>
  <c r="H182"/>
  <c r="F182"/>
  <c r="K181"/>
  <c r="J181"/>
  <c r="H181"/>
  <c r="F181"/>
  <c r="K180"/>
  <c r="J180"/>
  <c r="H180"/>
  <c r="F180"/>
  <c r="K179"/>
  <c r="J179"/>
  <c r="H179"/>
  <c r="F179"/>
  <c r="K178"/>
  <c r="J178"/>
  <c r="H178"/>
  <c r="F178"/>
  <c r="K177"/>
  <c r="J177"/>
  <c r="H177"/>
  <c r="F177"/>
  <c r="K176"/>
  <c r="J176"/>
  <c r="H176"/>
  <c r="F176"/>
  <c r="K175"/>
  <c r="J175"/>
  <c r="H175"/>
  <c r="F175"/>
  <c r="K174"/>
  <c r="J174"/>
  <c r="H174"/>
  <c r="F174"/>
  <c r="K173"/>
  <c r="J173"/>
  <c r="H173"/>
  <c r="F173"/>
  <c r="K172"/>
  <c r="J172"/>
  <c r="H172"/>
  <c r="F172"/>
  <c r="K171"/>
  <c r="J171"/>
  <c r="H171"/>
  <c r="F171"/>
  <c r="K170"/>
  <c r="J170"/>
  <c r="H170"/>
  <c r="F170"/>
  <c r="K169"/>
  <c r="J169"/>
  <c r="H169"/>
  <c r="F169"/>
  <c r="K168"/>
  <c r="J168"/>
  <c r="H168"/>
  <c r="F168"/>
  <c r="K167"/>
  <c r="J167"/>
  <c r="H167"/>
  <c r="F167"/>
  <c r="K166"/>
  <c r="J166"/>
  <c r="H166"/>
  <c r="F166"/>
  <c r="K165"/>
  <c r="J165"/>
  <c r="H165"/>
  <c r="F165"/>
  <c r="K164"/>
  <c r="J164"/>
  <c r="H164"/>
  <c r="F164"/>
  <c r="K163"/>
  <c r="J163"/>
  <c r="H163"/>
  <c r="F163"/>
  <c r="K162"/>
  <c r="J162"/>
  <c r="H162"/>
  <c r="F162"/>
  <c r="K161"/>
  <c r="J161"/>
  <c r="H161"/>
  <c r="F161"/>
  <c r="K160"/>
  <c r="J160"/>
  <c r="H160"/>
  <c r="F160"/>
  <c r="K159"/>
  <c r="J159"/>
  <c r="H159"/>
  <c r="F159"/>
  <c r="K158"/>
  <c r="J158"/>
  <c r="H158"/>
  <c r="F158"/>
  <c r="K157"/>
  <c r="J157"/>
  <c r="H157"/>
  <c r="F157"/>
  <c r="K156"/>
  <c r="J156"/>
  <c r="H156"/>
  <c r="F156"/>
  <c r="K155"/>
  <c r="J155"/>
  <c r="H155"/>
  <c r="F155"/>
  <c r="K154"/>
  <c r="J154"/>
  <c r="H154"/>
  <c r="F154"/>
  <c r="K153"/>
  <c r="J153"/>
  <c r="H153"/>
  <c r="F153"/>
  <c r="K152"/>
  <c r="J152"/>
  <c r="H152"/>
  <c r="F152"/>
  <c r="K151"/>
  <c r="J151"/>
  <c r="H151"/>
  <c r="F151"/>
  <c r="K150"/>
  <c r="J150"/>
  <c r="H150"/>
  <c r="F150"/>
  <c r="K149"/>
  <c r="J149"/>
  <c r="H149"/>
  <c r="F149"/>
  <c r="K148"/>
  <c r="J148"/>
  <c r="H148"/>
  <c r="F148"/>
  <c r="K147"/>
  <c r="J147"/>
  <c r="H147"/>
  <c r="F147"/>
  <c r="K146"/>
  <c r="J146"/>
  <c r="H146"/>
  <c r="F146"/>
  <c r="K145"/>
  <c r="J145"/>
  <c r="H145"/>
  <c r="F145"/>
  <c r="K144"/>
  <c r="J144"/>
  <c r="H144"/>
  <c r="F144"/>
  <c r="K143"/>
  <c r="J143"/>
  <c r="H143"/>
  <c r="F143"/>
  <c r="K142"/>
  <c r="J142"/>
  <c r="H142"/>
  <c r="F142"/>
  <c r="K141"/>
  <c r="J141"/>
  <c r="H141"/>
  <c r="F141"/>
  <c r="K140"/>
  <c r="J140"/>
  <c r="H140"/>
  <c r="F140"/>
  <c r="K139"/>
  <c r="J139"/>
  <c r="H139"/>
  <c r="F139"/>
  <c r="K138"/>
  <c r="J138"/>
  <c r="H138"/>
  <c r="F138"/>
  <c r="K137"/>
  <c r="J137"/>
  <c r="H137"/>
  <c r="F137"/>
  <c r="K136"/>
  <c r="J136"/>
  <c r="H136"/>
  <c r="F136"/>
  <c r="K135"/>
  <c r="J135"/>
  <c r="H135"/>
  <c r="F135"/>
  <c r="K134"/>
  <c r="J134"/>
  <c r="H134"/>
  <c r="F134"/>
  <c r="K133"/>
  <c r="J133"/>
  <c r="H133"/>
  <c r="F133"/>
  <c r="K132"/>
  <c r="J132"/>
  <c r="H132"/>
  <c r="F132"/>
  <c r="K131"/>
  <c r="J131"/>
  <c r="H131"/>
  <c r="F131"/>
  <c r="K130"/>
  <c r="J130"/>
  <c r="H130"/>
  <c r="F130"/>
  <c r="K129"/>
  <c r="J129"/>
  <c r="H129"/>
  <c r="F129"/>
  <c r="K128"/>
  <c r="J128"/>
  <c r="H128"/>
  <c r="F128"/>
  <c r="K127"/>
  <c r="J127"/>
  <c r="H127"/>
  <c r="F127"/>
  <c r="K126"/>
  <c r="J126"/>
  <c r="H126"/>
  <c r="F126"/>
  <c r="K125"/>
  <c r="J125"/>
  <c r="H125"/>
  <c r="F125"/>
  <c r="K124"/>
  <c r="J124"/>
  <c r="H124"/>
  <c r="F124"/>
  <c r="K123"/>
  <c r="J123"/>
  <c r="H123"/>
  <c r="F123"/>
  <c r="K122"/>
  <c r="J122"/>
  <c r="H122"/>
  <c r="F122"/>
  <c r="K121"/>
  <c r="J121"/>
  <c r="H121"/>
  <c r="F121"/>
  <c r="K120"/>
  <c r="J120"/>
  <c r="H120"/>
  <c r="F120"/>
  <c r="K119"/>
  <c r="J119"/>
  <c r="H119"/>
  <c r="F119"/>
  <c r="J118"/>
  <c r="H118"/>
  <c r="F118"/>
  <c r="K117"/>
  <c r="J117"/>
  <c r="H117"/>
  <c r="F117"/>
  <c r="K116"/>
  <c r="J116"/>
  <c r="H116"/>
  <c r="F116"/>
  <c r="K115"/>
  <c r="J115"/>
  <c r="H115"/>
  <c r="F115"/>
  <c r="K114"/>
  <c r="J114"/>
  <c r="H114"/>
  <c r="F114"/>
  <c r="K113"/>
  <c r="J113"/>
  <c r="H113"/>
  <c r="F113"/>
  <c r="K112"/>
  <c r="J112"/>
  <c r="H112"/>
  <c r="F112"/>
  <c r="K111"/>
  <c r="J111"/>
  <c r="H111"/>
  <c r="F111"/>
  <c r="K110"/>
  <c r="J110"/>
  <c r="H110"/>
  <c r="F110"/>
  <c r="K109"/>
  <c r="J109"/>
  <c r="H109"/>
  <c r="F109"/>
  <c r="K108"/>
  <c r="J108"/>
  <c r="H108"/>
  <c r="F108"/>
  <c r="K107"/>
  <c r="J107"/>
  <c r="H107"/>
  <c r="F107"/>
  <c r="K106"/>
  <c r="J106"/>
  <c r="H106"/>
  <c r="F106"/>
  <c r="K105"/>
  <c r="J105"/>
  <c r="H105"/>
  <c r="F105"/>
  <c r="K104"/>
  <c r="J104"/>
  <c r="H104"/>
  <c r="F104"/>
  <c r="K103"/>
  <c r="J103"/>
  <c r="H103"/>
  <c r="F103"/>
  <c r="K102"/>
  <c r="J102"/>
  <c r="H102"/>
  <c r="F102"/>
  <c r="K101"/>
  <c r="J101"/>
  <c r="H101"/>
  <c r="F101"/>
  <c r="K100"/>
  <c r="J100"/>
  <c r="H100"/>
  <c r="F100"/>
  <c r="K99"/>
  <c r="J99"/>
  <c r="H99"/>
  <c r="F99"/>
  <c r="K98"/>
  <c r="J98"/>
  <c r="H98"/>
  <c r="F98"/>
  <c r="J97"/>
  <c r="H97"/>
  <c r="F97"/>
  <c r="K96"/>
  <c r="J96"/>
  <c r="H96"/>
  <c r="F96"/>
  <c r="K95"/>
  <c r="J95"/>
  <c r="H95"/>
  <c r="F95"/>
  <c r="K94"/>
  <c r="J94"/>
  <c r="H94"/>
  <c r="F94"/>
  <c r="K93"/>
  <c r="J93"/>
  <c r="H93"/>
  <c r="F93"/>
  <c r="K92"/>
  <c r="J92"/>
  <c r="H92"/>
  <c r="F92"/>
  <c r="K91"/>
  <c r="J91"/>
  <c r="H91"/>
  <c r="F91"/>
  <c r="K90"/>
  <c r="J90"/>
  <c r="H90"/>
  <c r="F90"/>
  <c r="K88"/>
  <c r="J88"/>
  <c r="H88"/>
  <c r="F88"/>
  <c r="K87"/>
  <c r="J87"/>
  <c r="H87"/>
  <c r="F87"/>
  <c r="K86"/>
  <c r="J86"/>
  <c r="H86"/>
  <c r="F86"/>
  <c r="K85"/>
  <c r="J85"/>
  <c r="H85"/>
  <c r="F85"/>
  <c r="K84"/>
  <c r="J84"/>
  <c r="H84"/>
  <c r="F84"/>
  <c r="K83"/>
  <c r="J83"/>
  <c r="H83"/>
  <c r="F83"/>
  <c r="K82"/>
  <c r="J82"/>
  <c r="H82"/>
  <c r="F82"/>
  <c r="K81"/>
  <c r="J81"/>
  <c r="H81"/>
  <c r="F81"/>
  <c r="K80"/>
  <c r="J80"/>
  <c r="H80"/>
  <c r="F80"/>
  <c r="K79"/>
  <c r="J79"/>
  <c r="H79"/>
  <c r="F79"/>
  <c r="K78"/>
  <c r="J78"/>
  <c r="H78"/>
  <c r="F78"/>
  <c r="K77"/>
  <c r="J77"/>
  <c r="H77"/>
  <c r="F77"/>
  <c r="K76"/>
  <c r="J76"/>
  <c r="H76"/>
  <c r="F76"/>
  <c r="K75"/>
  <c r="J75"/>
  <c r="H75"/>
  <c r="F75"/>
  <c r="K74"/>
  <c r="J74"/>
  <c r="H74"/>
  <c r="F74"/>
  <c r="K73"/>
  <c r="J73"/>
  <c r="H73"/>
  <c r="F73"/>
  <c r="K72"/>
  <c r="J72"/>
  <c r="H72"/>
  <c r="F72"/>
  <c r="K71"/>
  <c r="J71"/>
  <c r="H71"/>
  <c r="F71"/>
  <c r="K70"/>
  <c r="J70"/>
  <c r="H70"/>
  <c r="F70"/>
  <c r="K69"/>
  <c r="J69"/>
  <c r="H69"/>
  <c r="F69"/>
  <c r="K68"/>
  <c r="J68"/>
  <c r="H68"/>
  <c r="F68"/>
  <c r="K66"/>
  <c r="J66"/>
  <c r="H66"/>
  <c r="F66"/>
  <c r="K65"/>
  <c r="J65"/>
  <c r="H65"/>
  <c r="F65"/>
  <c r="K64"/>
  <c r="J64"/>
  <c r="H64"/>
  <c r="F64"/>
  <c r="J63"/>
  <c r="H63"/>
  <c r="F63"/>
  <c r="K62"/>
  <c r="J62"/>
  <c r="H62"/>
  <c r="F62"/>
  <c r="K61"/>
  <c r="J61"/>
  <c r="H61"/>
  <c r="F61"/>
  <c r="K60"/>
  <c r="J60"/>
  <c r="H60"/>
  <c r="F60"/>
  <c r="K59"/>
  <c r="J59"/>
  <c r="H59"/>
  <c r="F59"/>
  <c r="K58"/>
  <c r="J58"/>
  <c r="H58"/>
  <c r="F58"/>
  <c r="K57"/>
  <c r="J57"/>
  <c r="H57"/>
  <c r="F57"/>
  <c r="K56"/>
  <c r="J56"/>
  <c r="H56"/>
  <c r="F56"/>
  <c r="K55"/>
  <c r="J55"/>
  <c r="H55"/>
  <c r="F55"/>
  <c r="J54"/>
  <c r="H54"/>
  <c r="F54"/>
  <c r="K53"/>
  <c r="J53"/>
  <c r="H53"/>
  <c r="F53"/>
  <c r="J52"/>
  <c r="H52"/>
  <c r="F52"/>
  <c r="K51"/>
  <c r="J51"/>
  <c r="H51"/>
  <c r="F51"/>
  <c r="K50"/>
  <c r="J50"/>
  <c r="H50"/>
  <c r="F50"/>
  <c r="K49"/>
  <c r="J49"/>
  <c r="H49"/>
  <c r="F49"/>
  <c r="K48"/>
  <c r="J48"/>
  <c r="H48"/>
  <c r="F48"/>
  <c r="K47"/>
  <c r="J47"/>
  <c r="H47"/>
  <c r="F47"/>
  <c r="K46"/>
  <c r="J46"/>
  <c r="H46"/>
  <c r="F46"/>
  <c r="K45"/>
  <c r="J45"/>
  <c r="H45"/>
  <c r="F45"/>
  <c r="K44"/>
  <c r="J44"/>
  <c r="H44"/>
  <c r="F44"/>
  <c r="K43"/>
  <c r="J43"/>
  <c r="H43"/>
  <c r="F43"/>
  <c r="K42"/>
  <c r="J42"/>
  <c r="H42"/>
  <c r="F42"/>
  <c r="K41"/>
  <c r="J41"/>
  <c r="H41"/>
  <c r="F41"/>
  <c r="K40"/>
  <c r="J40"/>
  <c r="H40"/>
  <c r="F40"/>
  <c r="K38"/>
  <c r="J38"/>
  <c r="H38"/>
  <c r="F38"/>
  <c r="K37"/>
  <c r="J37"/>
  <c r="H37"/>
  <c r="F37"/>
  <c r="K36"/>
  <c r="J36"/>
  <c r="H36"/>
  <c r="F36"/>
  <c r="K35"/>
  <c r="J35"/>
  <c r="H35"/>
  <c r="F35"/>
  <c r="K34"/>
  <c r="J34"/>
  <c r="H34"/>
  <c r="F34"/>
  <c r="K33"/>
  <c r="J33"/>
  <c r="H33"/>
  <c r="F33"/>
  <c r="K32"/>
  <c r="J32"/>
  <c r="H32"/>
  <c r="F32"/>
  <c r="K31"/>
  <c r="J31"/>
  <c r="H31"/>
  <c r="F31"/>
  <c r="K30"/>
  <c r="J30"/>
  <c r="H30"/>
  <c r="F30"/>
  <c r="K29"/>
  <c r="J29"/>
  <c r="H29"/>
  <c r="F29"/>
  <c r="K28"/>
  <c r="J28"/>
  <c r="H28"/>
  <c r="F28"/>
  <c r="K27"/>
  <c r="J27"/>
  <c r="H27"/>
  <c r="F27"/>
  <c r="K26"/>
  <c r="J26"/>
  <c r="H26"/>
  <c r="F26"/>
  <c r="K25"/>
  <c r="J25"/>
  <c r="H25"/>
  <c r="F25"/>
  <c r="K24"/>
  <c r="J24"/>
  <c r="H24"/>
  <c r="F24"/>
  <c r="K23"/>
  <c r="J23"/>
  <c r="H23"/>
  <c r="F23"/>
  <c r="K22"/>
  <c r="J22"/>
  <c r="H22"/>
  <c r="F22"/>
  <c r="K21"/>
  <c r="J21"/>
  <c r="H21"/>
  <c r="F21"/>
  <c r="K20"/>
  <c r="J20"/>
  <c r="H20"/>
  <c r="F20"/>
  <c r="K19"/>
  <c r="J19"/>
  <c r="H19"/>
  <c r="F19"/>
  <c r="K18"/>
  <c r="J18"/>
  <c r="H18"/>
  <c r="F18"/>
  <c r="K17"/>
  <c r="J17"/>
  <c r="H17"/>
  <c r="F17"/>
  <c r="K15"/>
  <c r="J15"/>
  <c r="H15"/>
  <c r="F15"/>
  <c r="K14"/>
  <c r="J14"/>
  <c r="H14"/>
  <c r="F14"/>
  <c r="K13"/>
  <c r="J13"/>
  <c r="H13"/>
  <c r="F13"/>
  <c r="K12"/>
  <c r="J12"/>
  <c r="H12"/>
  <c r="F12"/>
  <c r="K11"/>
  <c r="J11"/>
  <c r="H11"/>
  <c r="F11"/>
  <c r="K10"/>
  <c r="J10"/>
  <c r="H10"/>
  <c r="F10"/>
  <c r="K9"/>
  <c r="J9"/>
  <c r="H9"/>
  <c r="F9"/>
  <c r="K8"/>
  <c r="J8"/>
  <c r="H8"/>
  <c r="F8"/>
  <c r="K7"/>
  <c r="J7"/>
  <c r="H7"/>
  <c r="F7"/>
  <c r="K6"/>
  <c r="J6"/>
  <c r="H6"/>
  <c r="F6"/>
  <c r="D44" i="25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19" i="24"/>
  <c r="C19"/>
  <c r="C18"/>
  <c r="C17"/>
  <c r="C16"/>
  <c r="C15"/>
  <c r="C14"/>
  <c r="C13"/>
  <c r="C12"/>
  <c r="C11"/>
  <c r="C10"/>
  <c r="C9"/>
  <c r="C8"/>
  <c r="C7"/>
  <c r="C6"/>
  <c r="C5"/>
  <c r="E782" i="23"/>
  <c r="D782" s="1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E741"/>
  <c r="D741" s="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E698"/>
  <c r="D698" s="1"/>
  <c r="D697"/>
  <c r="D696"/>
  <c r="D695"/>
  <c r="D694"/>
  <c r="D693"/>
  <c r="D692"/>
  <c r="D691"/>
  <c r="D690"/>
  <c r="D689"/>
  <c r="D688"/>
  <c r="D687"/>
  <c r="D686"/>
  <c r="D685"/>
  <c r="E684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E351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E286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E243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E193"/>
  <c r="D193" s="1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E153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F279" i="32" l="1"/>
  <c r="E8" i="29"/>
  <c r="E50" s="1"/>
  <c r="P21" i="28"/>
  <c r="P34"/>
  <c r="R97"/>
  <c r="R373" s="1"/>
  <c r="R374"/>
  <c r="R371"/>
  <c r="R34"/>
  <c r="R375"/>
  <c r="R118"/>
  <c r="R4"/>
  <c r="R11" s="1"/>
  <c r="R21" s="1"/>
  <c r="R19"/>
  <c r="R20" s="1"/>
  <c r="R105"/>
  <c r="R166"/>
  <c r="R224" s="1"/>
  <c r="R227"/>
  <c r="R229" s="1"/>
  <c r="P319"/>
  <c r="P348" s="1"/>
  <c r="Q365"/>
  <c r="Q367" s="1"/>
  <c r="R241"/>
  <c r="R245" s="1"/>
  <c r="R320"/>
  <c r="R344" s="1"/>
  <c r="R348" s="1"/>
  <c r="R377" s="1"/>
  <c r="R360"/>
  <c r="R362" s="1"/>
  <c r="R384" s="1"/>
  <c r="B70" i="27"/>
  <c r="R249" i="28" l="1"/>
  <c r="R367" s="1"/>
  <c r="R369" s="1"/>
  <c r="R376"/>
  <c r="R370"/>
  <c r="P367"/>
  <c r="D35" i="21"/>
  <c r="D34"/>
  <c r="D33"/>
  <c r="D32"/>
  <c r="D31"/>
  <c r="D30"/>
  <c r="D29"/>
  <c r="D28"/>
  <c r="D27"/>
  <c r="D26"/>
  <c r="D25"/>
  <c r="D24"/>
  <c r="D23"/>
  <c r="D22"/>
  <c r="E21"/>
  <c r="D21" s="1"/>
  <c r="D20"/>
  <c r="D19"/>
  <c r="D18"/>
  <c r="D17"/>
  <c r="D16"/>
  <c r="D15"/>
  <c r="D14"/>
  <c r="D13"/>
  <c r="D12"/>
  <c r="D11"/>
  <c r="D10"/>
  <c r="D9"/>
  <c r="D8"/>
  <c r="D7"/>
  <c r="D6"/>
  <c r="F378" i="20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D391" i="19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N148" i="18"/>
  <c r="W147"/>
  <c r="N147"/>
  <c r="V146"/>
  <c r="U146"/>
  <c r="N146"/>
  <c r="W145"/>
  <c r="V145"/>
  <c r="U145"/>
  <c r="N145"/>
  <c r="U144"/>
  <c r="N144"/>
  <c r="N143"/>
  <c r="N142"/>
  <c r="N108"/>
  <c r="N107"/>
  <c r="N106"/>
  <c r="N105"/>
  <c r="N104"/>
  <c r="N103"/>
  <c r="N102"/>
  <c r="N100"/>
  <c r="N99"/>
  <c r="N98"/>
  <c r="N97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6"/>
  <c r="N75"/>
  <c r="N74"/>
  <c r="N73"/>
  <c r="N72"/>
  <c r="N71"/>
  <c r="N70"/>
  <c r="N69"/>
  <c r="N68"/>
  <c r="N67"/>
  <c r="N66"/>
  <c r="N65"/>
  <c r="N64"/>
  <c r="N62"/>
  <c r="N61"/>
  <c r="N60"/>
  <c r="N59"/>
  <c r="N58"/>
  <c r="O56"/>
  <c r="N56"/>
  <c r="O55"/>
  <c r="N55"/>
  <c r="O54"/>
  <c r="N54"/>
  <c r="O53"/>
  <c r="N53"/>
  <c r="O52"/>
  <c r="N52"/>
  <c r="O51"/>
  <c r="N51"/>
  <c r="O50"/>
  <c r="N50"/>
  <c r="O48"/>
  <c r="N48"/>
  <c r="O47"/>
  <c r="N47"/>
  <c r="O46"/>
  <c r="N46"/>
  <c r="O45"/>
  <c r="N45"/>
  <c r="O44"/>
  <c r="N44"/>
  <c r="O43"/>
  <c r="N43"/>
  <c r="O42"/>
  <c r="N42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G189" i="17"/>
  <c r="G188"/>
  <c r="G187"/>
  <c r="G185"/>
  <c r="G184"/>
  <c r="G182"/>
  <c r="G181"/>
  <c r="G180"/>
  <c r="G179"/>
  <c r="G178"/>
  <c r="G177"/>
  <c r="G176"/>
  <c r="G175"/>
  <c r="G174"/>
  <c r="G173"/>
  <c r="G172"/>
  <c r="G171"/>
  <c r="G170"/>
  <c r="G169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167" s="1"/>
  <c r="E113" i="16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J386" i="15"/>
  <c r="I386"/>
  <c r="G386"/>
  <c r="E386"/>
  <c r="J384"/>
  <c r="I384"/>
  <c r="G384"/>
  <c r="E384"/>
  <c r="J383"/>
  <c r="I383"/>
  <c r="G383"/>
  <c r="E383"/>
  <c r="J382"/>
  <c r="I382"/>
  <c r="G382"/>
  <c r="E382"/>
  <c r="J381"/>
  <c r="I381"/>
  <c r="G381"/>
  <c r="E381"/>
  <c r="J380"/>
  <c r="I380"/>
  <c r="G380"/>
  <c r="E380"/>
  <c r="J379"/>
  <c r="I379"/>
  <c r="G379"/>
  <c r="E379"/>
  <c r="J378"/>
  <c r="I378"/>
  <c r="G378"/>
  <c r="E378"/>
  <c r="J377"/>
  <c r="I377"/>
  <c r="G377"/>
  <c r="E377"/>
  <c r="J376"/>
  <c r="I376"/>
  <c r="G376"/>
  <c r="E376"/>
  <c r="J375"/>
  <c r="I375"/>
  <c r="G375"/>
  <c r="E375"/>
  <c r="J374"/>
  <c r="I374"/>
  <c r="G374"/>
  <c r="E374"/>
  <c r="J373"/>
  <c r="J372"/>
  <c r="I372"/>
  <c r="G372"/>
  <c r="E372"/>
  <c r="J371"/>
  <c r="I371"/>
  <c r="G371"/>
  <c r="E371"/>
  <c r="J370"/>
  <c r="I370"/>
  <c r="G370"/>
  <c r="E370"/>
  <c r="J369"/>
  <c r="I369"/>
  <c r="G369"/>
  <c r="E369"/>
  <c r="J368"/>
  <c r="I368"/>
  <c r="G368"/>
  <c r="E368"/>
  <c r="J367"/>
  <c r="I367"/>
  <c r="G367"/>
  <c r="E367"/>
  <c r="I366"/>
  <c r="G366"/>
  <c r="E366"/>
  <c r="I365"/>
  <c r="G365"/>
  <c r="E365"/>
  <c r="I364"/>
  <c r="G364"/>
  <c r="E364"/>
  <c r="J363"/>
  <c r="I363"/>
  <c r="G363"/>
  <c r="E363"/>
  <c r="J362"/>
  <c r="I362"/>
  <c r="G362"/>
  <c r="E362"/>
  <c r="J361"/>
  <c r="I361"/>
  <c r="G361"/>
  <c r="E361"/>
  <c r="J360"/>
  <c r="I360"/>
  <c r="G360"/>
  <c r="E360"/>
  <c r="J359"/>
  <c r="I359"/>
  <c r="G359"/>
  <c r="E359"/>
  <c r="J358"/>
  <c r="I358"/>
  <c r="G358"/>
  <c r="E358"/>
  <c r="J357"/>
  <c r="I357"/>
  <c r="G357"/>
  <c r="E357"/>
  <c r="I356"/>
  <c r="G356"/>
  <c r="E356"/>
  <c r="J355"/>
  <c r="I355"/>
  <c r="G355"/>
  <c r="E355"/>
  <c r="I354"/>
  <c r="G354"/>
  <c r="E354"/>
  <c r="I353"/>
  <c r="G353"/>
  <c r="E353"/>
  <c r="J352"/>
  <c r="I352"/>
  <c r="G352"/>
  <c r="E352"/>
  <c r="J351"/>
  <c r="I351"/>
  <c r="G351"/>
  <c r="E351"/>
  <c r="I350"/>
  <c r="G350"/>
  <c r="E350"/>
  <c r="J349"/>
  <c r="I349"/>
  <c r="G349"/>
  <c r="E349"/>
  <c r="J348"/>
  <c r="I348"/>
  <c r="G348"/>
  <c r="E348"/>
  <c r="J347"/>
  <c r="I347"/>
  <c r="G347"/>
  <c r="E347"/>
  <c r="J346"/>
  <c r="I346"/>
  <c r="G346"/>
  <c r="E346"/>
  <c r="J344"/>
  <c r="I344"/>
  <c r="G344"/>
  <c r="E344"/>
  <c r="J342"/>
  <c r="I342"/>
  <c r="G342"/>
  <c r="E342"/>
  <c r="J341"/>
  <c r="I341"/>
  <c r="G341"/>
  <c r="E341"/>
  <c r="J340"/>
  <c r="I340"/>
  <c r="G340"/>
  <c r="E340"/>
  <c r="J339"/>
  <c r="I339"/>
  <c r="G339"/>
  <c r="E339"/>
  <c r="J338"/>
  <c r="I338"/>
  <c r="G338"/>
  <c r="E338"/>
  <c r="J337"/>
  <c r="I337"/>
  <c r="G337"/>
  <c r="E337"/>
  <c r="J336"/>
  <c r="I336"/>
  <c r="G336"/>
  <c r="E336"/>
  <c r="J335"/>
  <c r="I335"/>
  <c r="G335"/>
  <c r="E335"/>
  <c r="J334"/>
  <c r="I334"/>
  <c r="G334"/>
  <c r="E334"/>
  <c r="J333"/>
  <c r="I333"/>
  <c r="G333"/>
  <c r="E333"/>
  <c r="J332"/>
  <c r="I332"/>
  <c r="G332"/>
  <c r="E332"/>
  <c r="J331"/>
  <c r="I331"/>
  <c r="I343" s="1"/>
  <c r="G331"/>
  <c r="G343" s="1"/>
  <c r="E331"/>
  <c r="E343" s="1"/>
  <c r="J329"/>
  <c r="I329"/>
  <c r="G329"/>
  <c r="E329"/>
  <c r="J328"/>
  <c r="I328"/>
  <c r="G328"/>
  <c r="E328"/>
  <c r="J327"/>
  <c r="I327"/>
  <c r="G327"/>
  <c r="E327"/>
  <c r="J326"/>
  <c r="I326"/>
  <c r="G326"/>
  <c r="E326"/>
  <c r="J325"/>
  <c r="I325"/>
  <c r="G325"/>
  <c r="E325"/>
  <c r="J324"/>
  <c r="I324"/>
  <c r="G324"/>
  <c r="E324"/>
  <c r="J323"/>
  <c r="I323"/>
  <c r="G323"/>
  <c r="E323"/>
  <c r="J322"/>
  <c r="I322"/>
  <c r="G322"/>
  <c r="E322"/>
  <c r="J321"/>
  <c r="I321"/>
  <c r="G321"/>
  <c r="E321"/>
  <c r="J320"/>
  <c r="I320"/>
  <c r="G320"/>
  <c r="E320"/>
  <c r="J319"/>
  <c r="I319"/>
  <c r="G319"/>
  <c r="E319"/>
  <c r="J318"/>
  <c r="I318"/>
  <c r="I330" s="1"/>
  <c r="J330" s="1"/>
  <c r="G318"/>
  <c r="G330" s="1"/>
  <c r="E318"/>
  <c r="E330" s="1"/>
  <c r="J317"/>
  <c r="I317"/>
  <c r="G317"/>
  <c r="E317"/>
  <c r="J316"/>
  <c r="I316"/>
  <c r="G316"/>
  <c r="E316"/>
  <c r="J315"/>
  <c r="J314"/>
  <c r="I314"/>
  <c r="G314"/>
  <c r="E314"/>
  <c r="J312"/>
  <c r="I312"/>
  <c r="G312"/>
  <c r="E312"/>
  <c r="J311"/>
  <c r="I311"/>
  <c r="G311"/>
  <c r="E311"/>
  <c r="J310"/>
  <c r="I310"/>
  <c r="G310"/>
  <c r="E310"/>
  <c r="J309"/>
  <c r="I309"/>
  <c r="G309"/>
  <c r="E309"/>
  <c r="J308"/>
  <c r="I308"/>
  <c r="G308"/>
  <c r="E308"/>
  <c r="J307"/>
  <c r="I307"/>
  <c r="G307"/>
  <c r="E307"/>
  <c r="J306"/>
  <c r="I306"/>
  <c r="I313" s="1"/>
  <c r="G306"/>
  <c r="G313" s="1"/>
  <c r="E306"/>
  <c r="E313" s="1"/>
  <c r="J300"/>
  <c r="I300"/>
  <c r="G300"/>
  <c r="E300"/>
  <c r="J299"/>
  <c r="I299"/>
  <c r="G299"/>
  <c r="E299"/>
  <c r="J298"/>
  <c r="I298"/>
  <c r="G298"/>
  <c r="E298"/>
  <c r="I297"/>
  <c r="G297"/>
  <c r="E297"/>
  <c r="J296"/>
  <c r="I296"/>
  <c r="G296"/>
  <c r="E296"/>
  <c r="J295"/>
  <c r="I295"/>
  <c r="G295"/>
  <c r="E295"/>
  <c r="J294"/>
  <c r="I294"/>
  <c r="G294"/>
  <c r="E294"/>
  <c r="J293"/>
  <c r="I293"/>
  <c r="G293"/>
  <c r="E293"/>
  <c r="J292"/>
  <c r="I292"/>
  <c r="G292"/>
  <c r="E292"/>
  <c r="J291"/>
  <c r="I291"/>
  <c r="G291"/>
  <c r="E291"/>
  <c r="J290"/>
  <c r="I290"/>
  <c r="G290"/>
  <c r="E290"/>
  <c r="J289"/>
  <c r="I289"/>
  <c r="G289"/>
  <c r="E289"/>
  <c r="J288"/>
  <c r="I288"/>
  <c r="G288"/>
  <c r="E288"/>
  <c r="J287"/>
  <c r="I287"/>
  <c r="G287"/>
  <c r="E287"/>
  <c r="J286"/>
  <c r="I286"/>
  <c r="G286"/>
  <c r="E286"/>
  <c r="J285"/>
  <c r="I285"/>
  <c r="G285"/>
  <c r="E285"/>
  <c r="J284"/>
  <c r="I284"/>
  <c r="G284"/>
  <c r="E284"/>
  <c r="J283"/>
  <c r="I283"/>
  <c r="G283"/>
  <c r="E283"/>
  <c r="J282"/>
  <c r="I282"/>
  <c r="G282"/>
  <c r="E282"/>
  <c r="J281"/>
  <c r="I281"/>
  <c r="G281"/>
  <c r="E281"/>
  <c r="J280"/>
  <c r="I280"/>
  <c r="G280"/>
  <c r="E280"/>
  <c r="J279"/>
  <c r="I279"/>
  <c r="G279"/>
  <c r="E279"/>
  <c r="J278"/>
  <c r="I278"/>
  <c r="G278"/>
  <c r="E278"/>
  <c r="J277"/>
  <c r="I277"/>
  <c r="G277"/>
  <c r="E277"/>
  <c r="J276"/>
  <c r="I276"/>
  <c r="G276"/>
  <c r="E276"/>
  <c r="J275"/>
  <c r="I275"/>
  <c r="G275"/>
  <c r="E275"/>
  <c r="J274"/>
  <c r="I274"/>
  <c r="G274"/>
  <c r="E274"/>
  <c r="J272"/>
  <c r="I272"/>
  <c r="G272"/>
  <c r="E272"/>
  <c r="J271"/>
  <c r="I271"/>
  <c r="G271"/>
  <c r="E271"/>
  <c r="J270"/>
  <c r="I270"/>
  <c r="G270"/>
  <c r="E270"/>
  <c r="J269"/>
  <c r="I269"/>
  <c r="G269"/>
  <c r="E269"/>
  <c r="J268"/>
  <c r="I268"/>
  <c r="G268"/>
  <c r="E268"/>
  <c r="J266"/>
  <c r="I266"/>
  <c r="G266"/>
  <c r="E266"/>
  <c r="J264"/>
  <c r="I264"/>
  <c r="G264"/>
  <c r="E264"/>
  <c r="J263"/>
  <c r="I263"/>
  <c r="G263"/>
  <c r="E263"/>
  <c r="J262"/>
  <c r="I262"/>
  <c r="G262"/>
  <c r="E262"/>
  <c r="J261"/>
  <c r="I261"/>
  <c r="G261"/>
  <c r="E261"/>
  <c r="J260"/>
  <c r="I260"/>
  <c r="G260"/>
  <c r="E260"/>
  <c r="J259"/>
  <c r="I259"/>
  <c r="G259"/>
  <c r="E259"/>
  <c r="J258"/>
  <c r="I258"/>
  <c r="G258"/>
  <c r="E258"/>
  <c r="J257"/>
  <c r="I257"/>
  <c r="G257"/>
  <c r="E257"/>
  <c r="J256"/>
  <c r="I256"/>
  <c r="G256"/>
  <c r="E256"/>
  <c r="J255"/>
  <c r="I255"/>
  <c r="G255"/>
  <c r="E255"/>
  <c r="J254"/>
  <c r="I254"/>
  <c r="G254"/>
  <c r="E254"/>
  <c r="J252"/>
  <c r="I252"/>
  <c r="G252"/>
  <c r="E252"/>
  <c r="J251"/>
  <c r="I251"/>
  <c r="G251"/>
  <c r="E251"/>
  <c r="J250"/>
  <c r="I250"/>
  <c r="G250"/>
  <c r="E250"/>
  <c r="J249"/>
  <c r="I249"/>
  <c r="G249"/>
  <c r="E249"/>
  <c r="J248"/>
  <c r="I248"/>
  <c r="G248"/>
  <c r="E248"/>
  <c r="J246"/>
  <c r="I246"/>
  <c r="G246"/>
  <c r="E246"/>
  <c r="J244"/>
  <c r="I244"/>
  <c r="G244"/>
  <c r="E244"/>
  <c r="J243"/>
  <c r="I243"/>
  <c r="G243"/>
  <c r="E243"/>
  <c r="J242"/>
  <c r="I242"/>
  <c r="G242"/>
  <c r="E242"/>
  <c r="J241"/>
  <c r="I241"/>
  <c r="G241"/>
  <c r="E241"/>
  <c r="J240"/>
  <c r="I240"/>
  <c r="G240"/>
  <c r="E240"/>
  <c r="J239"/>
  <c r="I239"/>
  <c r="G239"/>
  <c r="E239"/>
  <c r="J238"/>
  <c r="I238"/>
  <c r="G238"/>
  <c r="E238"/>
  <c r="J237"/>
  <c r="I237"/>
  <c r="G237"/>
  <c r="E237"/>
  <c r="J236"/>
  <c r="I236"/>
  <c r="G236"/>
  <c r="E236"/>
  <c r="J235"/>
  <c r="I235"/>
  <c r="G235"/>
  <c r="E235"/>
  <c r="I234"/>
  <c r="G234"/>
  <c r="E234"/>
  <c r="J233"/>
  <c r="I233"/>
  <c r="G233"/>
  <c r="E233"/>
  <c r="J232"/>
  <c r="I232"/>
  <c r="G232"/>
  <c r="E232"/>
  <c r="J231"/>
  <c r="I231"/>
  <c r="G231"/>
  <c r="E231"/>
  <c r="J230"/>
  <c r="I230"/>
  <c r="G230"/>
  <c r="E230"/>
  <c r="J229"/>
  <c r="I229"/>
  <c r="G229"/>
  <c r="E229"/>
  <c r="J228"/>
  <c r="I228"/>
  <c r="G228"/>
  <c r="E228"/>
  <c r="J227"/>
  <c r="I227"/>
  <c r="G227"/>
  <c r="E227"/>
  <c r="J226"/>
  <c r="I226"/>
  <c r="G226"/>
  <c r="E226"/>
  <c r="J225"/>
  <c r="I225"/>
  <c r="G225"/>
  <c r="E225"/>
  <c r="J224"/>
  <c r="I224"/>
  <c r="G224"/>
  <c r="E224"/>
  <c r="J223"/>
  <c r="I223"/>
  <c r="G223"/>
  <c r="E223"/>
  <c r="J222"/>
  <c r="I222"/>
  <c r="G222"/>
  <c r="E222"/>
  <c r="J221"/>
  <c r="I221"/>
  <c r="G221"/>
  <c r="E221"/>
  <c r="J220"/>
  <c r="I220"/>
  <c r="G220"/>
  <c r="E220"/>
  <c r="J219"/>
  <c r="I219"/>
  <c r="G219"/>
  <c r="E219"/>
  <c r="J218"/>
  <c r="I218"/>
  <c r="G218"/>
  <c r="E218"/>
  <c r="J217"/>
  <c r="I217"/>
  <c r="G217"/>
  <c r="E217"/>
  <c r="J215"/>
  <c r="I215"/>
  <c r="G215"/>
  <c r="E215"/>
  <c r="J214"/>
  <c r="I214"/>
  <c r="G214"/>
  <c r="E214"/>
  <c r="J213"/>
  <c r="I213"/>
  <c r="G213"/>
  <c r="E213"/>
  <c r="I212"/>
  <c r="G212"/>
  <c r="E212"/>
  <c r="J211"/>
  <c r="I211"/>
  <c r="G211"/>
  <c r="E211"/>
  <c r="J210"/>
  <c r="I210"/>
  <c r="G210"/>
  <c r="E210"/>
  <c r="J209"/>
  <c r="I209"/>
  <c r="G209"/>
  <c r="E209"/>
  <c r="J208"/>
  <c r="I208"/>
  <c r="G208"/>
  <c r="E208"/>
  <c r="J207"/>
  <c r="I207"/>
  <c r="G207"/>
  <c r="E207"/>
  <c r="J206"/>
  <c r="I206"/>
  <c r="G206"/>
  <c r="E206"/>
  <c r="J205"/>
  <c r="I205"/>
  <c r="G205"/>
  <c r="E205"/>
  <c r="J204"/>
  <c r="I204"/>
  <c r="G204"/>
  <c r="E204"/>
  <c r="J203"/>
  <c r="I203"/>
  <c r="G203"/>
  <c r="E203"/>
  <c r="J202"/>
  <c r="I202"/>
  <c r="G202"/>
  <c r="E202"/>
  <c r="J201"/>
  <c r="I201"/>
  <c r="G201"/>
  <c r="E201"/>
  <c r="J200"/>
  <c r="I200"/>
  <c r="G200"/>
  <c r="E200"/>
  <c r="J199"/>
  <c r="I199"/>
  <c r="G199"/>
  <c r="E199"/>
  <c r="J198"/>
  <c r="I198"/>
  <c r="G198"/>
  <c r="E198"/>
  <c r="J197"/>
  <c r="I197"/>
  <c r="G197"/>
  <c r="E197"/>
  <c r="J196"/>
  <c r="I196"/>
  <c r="G196"/>
  <c r="E196"/>
  <c r="J195"/>
  <c r="I195"/>
  <c r="G195"/>
  <c r="E195"/>
  <c r="J194"/>
  <c r="I194"/>
  <c r="G194"/>
  <c r="E194"/>
  <c r="J193"/>
  <c r="I193"/>
  <c r="G193"/>
  <c r="E193"/>
  <c r="J192"/>
  <c r="I192"/>
  <c r="G192"/>
  <c r="E192"/>
  <c r="I191"/>
  <c r="G191"/>
  <c r="E191"/>
  <c r="J190"/>
  <c r="I190"/>
  <c r="G190"/>
  <c r="E190"/>
  <c r="J189"/>
  <c r="I189"/>
  <c r="G189"/>
  <c r="E189"/>
  <c r="J188"/>
  <c r="I188"/>
  <c r="G188"/>
  <c r="E188"/>
  <c r="J187"/>
  <c r="I187"/>
  <c r="G187"/>
  <c r="E187"/>
  <c r="J186"/>
  <c r="I186"/>
  <c r="G186"/>
  <c r="E186"/>
  <c r="J185"/>
  <c r="I185"/>
  <c r="G185"/>
  <c r="E185"/>
  <c r="J183"/>
  <c r="I183"/>
  <c r="G183"/>
  <c r="E183"/>
  <c r="J182"/>
  <c r="I182"/>
  <c r="G182"/>
  <c r="E182"/>
  <c r="J181"/>
  <c r="I181"/>
  <c r="G181"/>
  <c r="E181"/>
  <c r="J180"/>
  <c r="I180"/>
  <c r="G180"/>
  <c r="E180"/>
  <c r="J179"/>
  <c r="I179"/>
  <c r="G179"/>
  <c r="E179"/>
  <c r="J178"/>
  <c r="I178"/>
  <c r="G178"/>
  <c r="E178"/>
  <c r="J177"/>
  <c r="I177"/>
  <c r="G177"/>
  <c r="E177"/>
  <c r="J176"/>
  <c r="I176"/>
  <c r="G176"/>
  <c r="E176"/>
  <c r="J175"/>
  <c r="J174"/>
  <c r="I174"/>
  <c r="G174"/>
  <c r="E174"/>
  <c r="J173"/>
  <c r="I173"/>
  <c r="G173"/>
  <c r="E173"/>
  <c r="J172"/>
  <c r="I172"/>
  <c r="G172"/>
  <c r="E172"/>
  <c r="J171"/>
  <c r="I171"/>
  <c r="G171"/>
  <c r="E171"/>
  <c r="J167"/>
  <c r="I167"/>
  <c r="G167"/>
  <c r="E167"/>
  <c r="J166"/>
  <c r="I166"/>
  <c r="G166"/>
  <c r="E166"/>
  <c r="J165"/>
  <c r="I165"/>
  <c r="G165"/>
  <c r="E165"/>
  <c r="J164"/>
  <c r="I164"/>
  <c r="G164"/>
  <c r="E164"/>
  <c r="I163"/>
  <c r="G163"/>
  <c r="E163"/>
  <c r="J162"/>
  <c r="I162"/>
  <c r="G162"/>
  <c r="E162"/>
  <c r="J161"/>
  <c r="I161"/>
  <c r="G161"/>
  <c r="E161"/>
  <c r="J160"/>
  <c r="I160"/>
  <c r="G160"/>
  <c r="E160"/>
  <c r="J159"/>
  <c r="I159"/>
  <c r="G159"/>
  <c r="E159"/>
  <c r="I158"/>
  <c r="G158"/>
  <c r="E158"/>
  <c r="J157"/>
  <c r="J156"/>
  <c r="I156"/>
  <c r="G156"/>
  <c r="E156"/>
  <c r="J155"/>
  <c r="J154"/>
  <c r="I154"/>
  <c r="G154"/>
  <c r="E154"/>
  <c r="I153"/>
  <c r="G153"/>
  <c r="E153"/>
  <c r="I152"/>
  <c r="G152"/>
  <c r="E152"/>
  <c r="I151"/>
  <c r="G151"/>
  <c r="E151"/>
  <c r="J150"/>
  <c r="I150"/>
  <c r="G150"/>
  <c r="E150"/>
  <c r="J148"/>
  <c r="I148"/>
  <c r="G148"/>
  <c r="E148"/>
  <c r="J147"/>
  <c r="I147"/>
  <c r="G147"/>
  <c r="E147"/>
  <c r="J146"/>
  <c r="I146"/>
  <c r="G146"/>
  <c r="E146"/>
  <c r="J145"/>
  <c r="I145"/>
  <c r="G145"/>
  <c r="E145"/>
  <c r="J144"/>
  <c r="I144"/>
  <c r="G144"/>
  <c r="E144"/>
  <c r="J143"/>
  <c r="I143"/>
  <c r="G143"/>
  <c r="E143"/>
  <c r="J142"/>
  <c r="I142"/>
  <c r="G142"/>
  <c r="E142"/>
  <c r="J141"/>
  <c r="I141"/>
  <c r="G141"/>
  <c r="E141"/>
  <c r="J140"/>
  <c r="I140"/>
  <c r="G140"/>
  <c r="E140"/>
  <c r="J139"/>
  <c r="I139"/>
  <c r="G139"/>
  <c r="E139"/>
  <c r="J138"/>
  <c r="I138"/>
  <c r="G138"/>
  <c r="E138"/>
  <c r="J137"/>
  <c r="I137"/>
  <c r="G137"/>
  <c r="E137"/>
  <c r="J136"/>
  <c r="I136"/>
  <c r="G136"/>
  <c r="E136"/>
  <c r="J135"/>
  <c r="I135"/>
  <c r="G135"/>
  <c r="E135"/>
  <c r="J134"/>
  <c r="I134"/>
  <c r="G134"/>
  <c r="E134"/>
  <c r="J133"/>
  <c r="I133"/>
  <c r="G133"/>
  <c r="E133"/>
  <c r="J132"/>
  <c r="I132"/>
  <c r="G132"/>
  <c r="E132"/>
  <c r="J131"/>
  <c r="I131"/>
  <c r="G131"/>
  <c r="E131"/>
  <c r="J130"/>
  <c r="I130"/>
  <c r="G130"/>
  <c r="E130"/>
  <c r="J128"/>
  <c r="I128"/>
  <c r="G128"/>
  <c r="E128"/>
  <c r="J126"/>
  <c r="I126"/>
  <c r="G126"/>
  <c r="E126"/>
  <c r="J125"/>
  <c r="I125"/>
  <c r="G125"/>
  <c r="E125"/>
  <c r="J124"/>
  <c r="I124"/>
  <c r="G124"/>
  <c r="E124"/>
  <c r="J123"/>
  <c r="I123"/>
  <c r="G123"/>
  <c r="E123"/>
  <c r="J122"/>
  <c r="I122"/>
  <c r="G122"/>
  <c r="E122"/>
  <c r="J121"/>
  <c r="I121"/>
  <c r="G121"/>
  <c r="E121"/>
  <c r="J120"/>
  <c r="I120"/>
  <c r="G120"/>
  <c r="E120"/>
  <c r="J119"/>
  <c r="I119"/>
  <c r="G119"/>
  <c r="E119"/>
  <c r="J118"/>
  <c r="I118"/>
  <c r="G118"/>
  <c r="E118"/>
  <c r="J117"/>
  <c r="I117"/>
  <c r="G117"/>
  <c r="E117"/>
  <c r="J116"/>
  <c r="I116"/>
  <c r="G116"/>
  <c r="E116"/>
  <c r="J115"/>
  <c r="I115"/>
  <c r="G115"/>
  <c r="E115"/>
  <c r="J114"/>
  <c r="I114"/>
  <c r="G114"/>
  <c r="E114"/>
  <c r="J113"/>
  <c r="I113"/>
  <c r="G113"/>
  <c r="E113"/>
  <c r="J112"/>
  <c r="I112"/>
  <c r="G112"/>
  <c r="E112"/>
  <c r="J111"/>
  <c r="I111"/>
  <c r="G111"/>
  <c r="E111"/>
  <c r="J110"/>
  <c r="I110"/>
  <c r="G110"/>
  <c r="E110"/>
  <c r="J109"/>
  <c r="I109"/>
  <c r="G109"/>
  <c r="E109"/>
  <c r="J108"/>
  <c r="I108"/>
  <c r="I127" s="1"/>
  <c r="G108"/>
  <c r="G127" s="1"/>
  <c r="E108"/>
  <c r="E127" s="1"/>
  <c r="J107"/>
  <c r="I107"/>
  <c r="G107"/>
  <c r="E107"/>
  <c r="J106"/>
  <c r="I106"/>
  <c r="G106"/>
  <c r="E106"/>
  <c r="I105"/>
  <c r="G105"/>
  <c r="J105" s="1"/>
  <c r="E105"/>
  <c r="J104"/>
  <c r="I104"/>
  <c r="G104"/>
  <c r="E104"/>
  <c r="J103"/>
  <c r="I103"/>
  <c r="G103"/>
  <c r="E103"/>
  <c r="J102"/>
  <c r="I102"/>
  <c r="G102"/>
  <c r="E102"/>
  <c r="J101"/>
  <c r="I101"/>
  <c r="G101"/>
  <c r="E101"/>
  <c r="J100"/>
  <c r="I100"/>
  <c r="G100"/>
  <c r="E100"/>
  <c r="J99"/>
  <c r="I99"/>
  <c r="G99"/>
  <c r="E99"/>
  <c r="J98"/>
  <c r="I98"/>
  <c r="G98"/>
  <c r="E98"/>
  <c r="J97"/>
  <c r="I97"/>
  <c r="G97"/>
  <c r="E97"/>
  <c r="J96"/>
  <c r="I96"/>
  <c r="G96"/>
  <c r="E96"/>
  <c r="J95"/>
  <c r="I95"/>
  <c r="G95"/>
  <c r="E95"/>
  <c r="J94"/>
  <c r="I94"/>
  <c r="G94"/>
  <c r="E94"/>
  <c r="J93"/>
  <c r="I93"/>
  <c r="G93"/>
  <c r="E93"/>
  <c r="J92"/>
  <c r="I92"/>
  <c r="G92"/>
  <c r="E92"/>
  <c r="J91"/>
  <c r="I91"/>
  <c r="G91"/>
  <c r="E91"/>
  <c r="J90"/>
  <c r="I90"/>
  <c r="G90"/>
  <c r="E90"/>
  <c r="J88"/>
  <c r="I88"/>
  <c r="G88"/>
  <c r="E88"/>
  <c r="J87"/>
  <c r="I87"/>
  <c r="I89" s="1"/>
  <c r="G87"/>
  <c r="G89" s="1"/>
  <c r="E87"/>
  <c r="J85"/>
  <c r="I85"/>
  <c r="G85"/>
  <c r="E85"/>
  <c r="J84"/>
  <c r="I84"/>
  <c r="I86" s="1"/>
  <c r="G84"/>
  <c r="G86" s="1"/>
  <c r="E84"/>
  <c r="I82"/>
  <c r="G82"/>
  <c r="E82"/>
  <c r="J81"/>
  <c r="I81"/>
  <c r="G81"/>
  <c r="E81"/>
  <c r="J80"/>
  <c r="I80"/>
  <c r="G80"/>
  <c r="E80"/>
  <c r="J79"/>
  <c r="I79"/>
  <c r="G79"/>
  <c r="E79"/>
  <c r="J78"/>
  <c r="I78"/>
  <c r="G78"/>
  <c r="E78"/>
  <c r="J77"/>
  <c r="I77"/>
  <c r="G77"/>
  <c r="E77"/>
  <c r="J76"/>
  <c r="I76"/>
  <c r="G76"/>
  <c r="E76"/>
  <c r="J75"/>
  <c r="I75"/>
  <c r="G75"/>
  <c r="E75"/>
  <c r="J74"/>
  <c r="I74"/>
  <c r="G74"/>
  <c r="E74"/>
  <c r="J73"/>
  <c r="I73"/>
  <c r="G73"/>
  <c r="E73"/>
  <c r="I72"/>
  <c r="G72"/>
  <c r="E72"/>
  <c r="J71"/>
  <c r="I71"/>
  <c r="I83" s="1"/>
  <c r="G71"/>
  <c r="G83" s="1"/>
  <c r="E71"/>
  <c r="E83" s="1"/>
  <c r="J69"/>
  <c r="I69"/>
  <c r="G69"/>
  <c r="E69"/>
  <c r="J68"/>
  <c r="I68"/>
  <c r="G68"/>
  <c r="E68"/>
  <c r="J67"/>
  <c r="I67"/>
  <c r="G67"/>
  <c r="E67"/>
  <c r="J66"/>
  <c r="I66"/>
  <c r="G66"/>
  <c r="E66"/>
  <c r="J65"/>
  <c r="I65"/>
  <c r="G65"/>
  <c r="E65"/>
  <c r="J64"/>
  <c r="I64"/>
  <c r="G64"/>
  <c r="E64"/>
  <c r="J62"/>
  <c r="I62"/>
  <c r="G62"/>
  <c r="E62"/>
  <c r="J61"/>
  <c r="I61"/>
  <c r="G61"/>
  <c r="E61"/>
  <c r="J60"/>
  <c r="I60"/>
  <c r="G60"/>
  <c r="E60"/>
  <c r="J59"/>
  <c r="I59"/>
  <c r="G59"/>
  <c r="E59"/>
  <c r="J58"/>
  <c r="I58"/>
  <c r="G58"/>
  <c r="E58"/>
  <c r="J57"/>
  <c r="I57"/>
  <c r="G57"/>
  <c r="E57"/>
  <c r="J56"/>
  <c r="I56"/>
  <c r="G56"/>
  <c r="E56"/>
  <c r="J55"/>
  <c r="I55"/>
  <c r="G55"/>
  <c r="E55"/>
  <c r="J53"/>
  <c r="I53"/>
  <c r="G53"/>
  <c r="E53"/>
  <c r="J51"/>
  <c r="I51"/>
  <c r="I52" s="1"/>
  <c r="J52" s="1"/>
  <c r="G51"/>
  <c r="G52" s="1"/>
  <c r="E51"/>
  <c r="J50"/>
  <c r="I50"/>
  <c r="G50"/>
  <c r="E50"/>
  <c r="J49"/>
  <c r="I49"/>
  <c r="G49"/>
  <c r="E49"/>
  <c r="J48"/>
  <c r="I48"/>
  <c r="G48"/>
  <c r="E48"/>
  <c r="J43"/>
  <c r="I43"/>
  <c r="G43"/>
  <c r="E43"/>
  <c r="J42"/>
  <c r="I42"/>
  <c r="G42"/>
  <c r="E42"/>
  <c r="J41"/>
  <c r="I41"/>
  <c r="G41"/>
  <c r="E41"/>
  <c r="J40"/>
  <c r="I40"/>
  <c r="G40"/>
  <c r="E40"/>
  <c r="J39"/>
  <c r="I39"/>
  <c r="G39"/>
  <c r="E39"/>
  <c r="I38"/>
  <c r="G38"/>
  <c r="E38"/>
  <c r="J37"/>
  <c r="I37"/>
  <c r="G37"/>
  <c r="E37"/>
  <c r="J36"/>
  <c r="I36"/>
  <c r="G36"/>
  <c r="E36"/>
  <c r="J35"/>
  <c r="I35"/>
  <c r="G35"/>
  <c r="E35"/>
  <c r="J34"/>
  <c r="I34"/>
  <c r="G34"/>
  <c r="E34"/>
  <c r="J33"/>
  <c r="I33"/>
  <c r="G33"/>
  <c r="E33"/>
  <c r="J32"/>
  <c r="I32"/>
  <c r="G32"/>
  <c r="E32"/>
  <c r="I31"/>
  <c r="G31"/>
  <c r="E31"/>
  <c r="J30"/>
  <c r="I30"/>
  <c r="G30"/>
  <c r="E30"/>
  <c r="J29"/>
  <c r="I29"/>
  <c r="G29"/>
  <c r="E29"/>
  <c r="J28"/>
  <c r="J27"/>
  <c r="I27"/>
  <c r="G27"/>
  <c r="E27"/>
  <c r="J26"/>
  <c r="I26"/>
  <c r="G26"/>
  <c r="E26"/>
  <c r="J25"/>
  <c r="I25"/>
  <c r="G25"/>
  <c r="E25"/>
  <c r="J24"/>
  <c r="I24"/>
  <c r="G24"/>
  <c r="E24"/>
  <c r="J23"/>
  <c r="I23"/>
  <c r="G23"/>
  <c r="E23"/>
  <c r="J22"/>
  <c r="I22"/>
  <c r="G22"/>
  <c r="E22"/>
  <c r="J21"/>
  <c r="I21"/>
  <c r="G21"/>
  <c r="E21"/>
  <c r="J20"/>
  <c r="I20"/>
  <c r="G20"/>
  <c r="E20"/>
  <c r="J19"/>
  <c r="I19"/>
  <c r="G19"/>
  <c r="E19"/>
  <c r="J18"/>
  <c r="I18"/>
  <c r="G18"/>
  <c r="E18"/>
  <c r="J17"/>
  <c r="I17"/>
  <c r="G17"/>
  <c r="E17"/>
  <c r="J16"/>
  <c r="I16"/>
  <c r="G16"/>
  <c r="E16"/>
  <c r="J15"/>
  <c r="I15"/>
  <c r="G15"/>
  <c r="E15"/>
  <c r="J13"/>
  <c r="I13"/>
  <c r="G13"/>
  <c r="E13"/>
  <c r="J12"/>
  <c r="I12"/>
  <c r="G12"/>
  <c r="E12"/>
  <c r="J11"/>
  <c r="I11"/>
  <c r="G11"/>
  <c r="E11"/>
  <c r="J10"/>
  <c r="I10"/>
  <c r="G10"/>
  <c r="E10"/>
  <c r="J9"/>
  <c r="I9"/>
  <c r="G9"/>
  <c r="E9"/>
  <c r="J8"/>
  <c r="I8"/>
  <c r="G8"/>
  <c r="E8"/>
  <c r="J7"/>
  <c r="I7"/>
  <c r="G7"/>
  <c r="E7"/>
  <c r="J6"/>
  <c r="I6"/>
  <c r="G6"/>
  <c r="E6"/>
  <c r="J5"/>
  <c r="I5"/>
  <c r="G5"/>
  <c r="E5"/>
  <c r="D33" i="12"/>
  <c r="N26" i="3"/>
  <c r="O26" s="1"/>
  <c r="L26"/>
  <c r="M26" s="1"/>
  <c r="J26"/>
  <c r="K26" s="1"/>
  <c r="H26"/>
  <c r="I26" s="1"/>
  <c r="F26"/>
  <c r="G26" s="1"/>
  <c r="D26"/>
  <c r="E26" s="1"/>
  <c r="B26"/>
  <c r="C26" s="1"/>
  <c r="P25"/>
  <c r="O25"/>
  <c r="M25"/>
  <c r="K25"/>
  <c r="I25"/>
  <c r="N24"/>
  <c r="O24" s="1"/>
  <c r="L24"/>
  <c r="M24" s="1"/>
  <c r="J24"/>
  <c r="K24" s="1"/>
  <c r="H24"/>
  <c r="I24" s="1"/>
  <c r="F24"/>
  <c r="G24" s="1"/>
  <c r="D24"/>
  <c r="E24" s="1"/>
  <c r="B24"/>
  <c r="C24" s="1"/>
  <c r="N23"/>
  <c r="O23" s="1"/>
  <c r="L23"/>
  <c r="M23" s="1"/>
  <c r="J23"/>
  <c r="K23" s="1"/>
  <c r="H23"/>
  <c r="I23" s="1"/>
  <c r="F23"/>
  <c r="G23" s="1"/>
  <c r="D23"/>
  <c r="E23" s="1"/>
  <c r="B23"/>
  <c r="C23" s="1"/>
  <c r="N22"/>
  <c r="O22" s="1"/>
  <c r="L22"/>
  <c r="M22" s="1"/>
  <c r="J22"/>
  <c r="K22" s="1"/>
  <c r="H22"/>
  <c r="I22" s="1"/>
  <c r="F22"/>
  <c r="G22" s="1"/>
  <c r="D22"/>
  <c r="E22" s="1"/>
  <c r="B22"/>
  <c r="C22" s="1"/>
  <c r="N21"/>
  <c r="L21"/>
  <c r="J21"/>
  <c r="H21"/>
  <c r="F21"/>
  <c r="D21"/>
  <c r="B21"/>
  <c r="B27" s="1"/>
  <c r="P12"/>
  <c r="N11"/>
  <c r="O11" s="1"/>
  <c r="L11"/>
  <c r="M11" s="1"/>
  <c r="J11"/>
  <c r="K11" s="1"/>
  <c r="H11"/>
  <c r="I11" s="1"/>
  <c r="F11"/>
  <c r="G11" s="1"/>
  <c r="D11"/>
  <c r="E11" s="1"/>
  <c r="C11"/>
  <c r="B11"/>
  <c r="M10"/>
  <c r="K10"/>
  <c r="I10"/>
  <c r="G10"/>
  <c r="E10"/>
  <c r="C10"/>
  <c r="N9"/>
  <c r="O9" s="1"/>
  <c r="L9"/>
  <c r="M9" s="1"/>
  <c r="J9"/>
  <c r="K9" s="1"/>
  <c r="H9"/>
  <c r="I9" s="1"/>
  <c r="F9"/>
  <c r="G9" s="1"/>
  <c r="D9"/>
  <c r="C9"/>
  <c r="B9"/>
  <c r="N8"/>
  <c r="O8" s="1"/>
  <c r="L8"/>
  <c r="M8" s="1"/>
  <c r="J8"/>
  <c r="K8" s="1"/>
  <c r="H8"/>
  <c r="I8" s="1"/>
  <c r="F8"/>
  <c r="G8" s="1"/>
  <c r="D8"/>
  <c r="C8"/>
  <c r="B8"/>
  <c r="N7"/>
  <c r="O7" s="1"/>
  <c r="L7"/>
  <c r="M7" s="1"/>
  <c r="J7"/>
  <c r="K7" s="1"/>
  <c r="H7"/>
  <c r="I7" s="1"/>
  <c r="F7"/>
  <c r="G7" s="1"/>
  <c r="D7"/>
  <c r="B7"/>
  <c r="C7" s="1"/>
  <c r="N6"/>
  <c r="L6"/>
  <c r="J6"/>
  <c r="H6"/>
  <c r="F6"/>
  <c r="D6"/>
  <c r="C6"/>
  <c r="C12" s="1"/>
  <c r="B6"/>
  <c r="B12" s="1"/>
  <c r="H46" i="2"/>
  <c r="I46" s="1"/>
  <c r="F46"/>
  <c r="D46"/>
  <c r="H45"/>
  <c r="I45" s="1"/>
  <c r="F45"/>
  <c r="D45"/>
  <c r="H44"/>
  <c r="I44" s="1"/>
  <c r="F44"/>
  <c r="D44"/>
  <c r="H43"/>
  <c r="I43" s="1"/>
  <c r="F43"/>
  <c r="D43"/>
  <c r="H42"/>
  <c r="I42" s="1"/>
  <c r="F42"/>
  <c r="D42"/>
  <c r="H41"/>
  <c r="I41" s="1"/>
  <c r="F41"/>
  <c r="D41"/>
  <c r="H40"/>
  <c r="I40" s="1"/>
  <c r="F40"/>
  <c r="D40"/>
  <c r="H39"/>
  <c r="I39" s="1"/>
  <c r="F39"/>
  <c r="D39"/>
  <c r="H38"/>
  <c r="I38" s="1"/>
  <c r="F38"/>
  <c r="D38"/>
  <c r="H37"/>
  <c r="I37" s="1"/>
  <c r="F37"/>
  <c r="D37"/>
  <c r="H36"/>
  <c r="H47" s="1"/>
  <c r="F36"/>
  <c r="F47" s="1"/>
  <c r="D36"/>
  <c r="D47" s="1"/>
  <c r="H34"/>
  <c r="F34"/>
  <c r="D34"/>
  <c r="H33"/>
  <c r="I33" s="1"/>
  <c r="F33"/>
  <c r="D33"/>
  <c r="H32"/>
  <c r="H35" s="1"/>
  <c r="F32"/>
  <c r="I32" s="1"/>
  <c r="D32"/>
  <c r="D35" s="1"/>
  <c r="G31"/>
  <c r="G35" s="1"/>
  <c r="G47" s="1"/>
  <c r="E31"/>
  <c r="E35" s="1"/>
  <c r="E47" s="1"/>
  <c r="C31"/>
  <c r="C35" s="1"/>
  <c r="C47" s="1"/>
  <c r="H30"/>
  <c r="F30"/>
  <c r="D30"/>
  <c r="H29"/>
  <c r="F29"/>
  <c r="I29" s="1"/>
  <c r="D29"/>
  <c r="H28"/>
  <c r="F28"/>
  <c r="I28" s="1"/>
  <c r="D28"/>
  <c r="H27"/>
  <c r="F27"/>
  <c r="D27"/>
  <c r="H26"/>
  <c r="I26" s="1"/>
  <c r="F26"/>
  <c r="D26"/>
  <c r="H25"/>
  <c r="F25"/>
  <c r="D25"/>
  <c r="H24"/>
  <c r="F24"/>
  <c r="I24" s="1"/>
  <c r="D24"/>
  <c r="H23"/>
  <c r="F23"/>
  <c r="I23" s="1"/>
  <c r="D23"/>
  <c r="H22"/>
  <c r="F22"/>
  <c r="I22" s="1"/>
  <c r="D22"/>
  <c r="H21"/>
  <c r="F21"/>
  <c r="I21" s="1"/>
  <c r="D21"/>
  <c r="H20"/>
  <c r="F20"/>
  <c r="I20" s="1"/>
  <c r="D20"/>
  <c r="H19"/>
  <c r="F19"/>
  <c r="D19"/>
  <c r="H18"/>
  <c r="F18"/>
  <c r="D18"/>
  <c r="H17"/>
  <c r="F17"/>
  <c r="I17" s="1"/>
  <c r="D17"/>
  <c r="H16"/>
  <c r="F16"/>
  <c r="D16"/>
  <c r="H15"/>
  <c r="I15" s="1"/>
  <c r="F15"/>
  <c r="D15"/>
  <c r="H14"/>
  <c r="I14" s="1"/>
  <c r="F14"/>
  <c r="D14"/>
  <c r="H13"/>
  <c r="F13"/>
  <c r="D13"/>
  <c r="H12"/>
  <c r="H31" s="1"/>
  <c r="F12"/>
  <c r="F31" s="1"/>
  <c r="D12"/>
  <c r="D31" s="1"/>
  <c r="G11"/>
  <c r="E11"/>
  <c r="C11"/>
  <c r="H10"/>
  <c r="F10"/>
  <c r="I10" s="1"/>
  <c r="D10"/>
  <c r="H9"/>
  <c r="F9"/>
  <c r="I9" s="1"/>
  <c r="D9"/>
  <c r="H8"/>
  <c r="F8"/>
  <c r="I8" s="1"/>
  <c r="D8"/>
  <c r="H7"/>
  <c r="F7"/>
  <c r="I7" s="1"/>
  <c r="D7"/>
  <c r="H6"/>
  <c r="F6"/>
  <c r="I6" s="1"/>
  <c r="D6"/>
  <c r="H5"/>
  <c r="F5"/>
  <c r="I5" s="1"/>
  <c r="D5"/>
  <c r="H4"/>
  <c r="H11" s="1"/>
  <c r="I11" s="1"/>
  <c r="F4"/>
  <c r="F11" s="1"/>
  <c r="D4"/>
  <c r="D11" s="1"/>
  <c r="F412" i="1"/>
  <c r="H407"/>
  <c r="H403"/>
  <c r="H350"/>
  <c r="H349"/>
  <c r="H348"/>
  <c r="H98"/>
  <c r="G91"/>
  <c r="G412" s="1"/>
  <c r="J127" i="15" l="1"/>
  <c r="J313"/>
  <c r="J83"/>
  <c r="J86"/>
  <c r="J89"/>
  <c r="J343"/>
  <c r="P21" i="3"/>
  <c r="H12"/>
  <c r="L12"/>
  <c r="F27"/>
  <c r="J27"/>
  <c r="N27"/>
  <c r="Q11"/>
  <c r="R11" s="1"/>
  <c r="F12"/>
  <c r="J12"/>
  <c r="N12"/>
  <c r="P22"/>
  <c r="Q22" s="1"/>
  <c r="P23"/>
  <c r="Q23" s="1"/>
  <c r="P24"/>
  <c r="Q24" s="1"/>
  <c r="Q10"/>
  <c r="Q25" s="1"/>
  <c r="P26"/>
  <c r="Q26" s="1"/>
  <c r="D27"/>
  <c r="H27"/>
  <c r="L27"/>
  <c r="R22"/>
  <c r="R23"/>
  <c r="R24"/>
  <c r="R25"/>
  <c r="R26"/>
  <c r="Q21"/>
  <c r="E6"/>
  <c r="G6"/>
  <c r="G12" s="1"/>
  <c r="I6"/>
  <c r="I12" s="1"/>
  <c r="K6"/>
  <c r="K12" s="1"/>
  <c r="M6"/>
  <c r="M12" s="1"/>
  <c r="O6"/>
  <c r="E7"/>
  <c r="Q7" s="1"/>
  <c r="R7" s="1"/>
  <c r="E8"/>
  <c r="Q8" s="1"/>
  <c r="R8" s="1"/>
  <c r="E9"/>
  <c r="Q9" s="1"/>
  <c r="R9" s="1"/>
  <c r="D12"/>
  <c r="C21"/>
  <c r="C27" s="1"/>
  <c r="E21"/>
  <c r="E27" s="1"/>
  <c r="G21"/>
  <c r="G27" s="1"/>
  <c r="I21"/>
  <c r="I27" s="1"/>
  <c r="K21"/>
  <c r="K27" s="1"/>
  <c r="M21"/>
  <c r="M27" s="1"/>
  <c r="O21"/>
  <c r="O27" s="1"/>
  <c r="H48" i="2"/>
  <c r="I47"/>
  <c r="D48"/>
  <c r="I31"/>
  <c r="F35"/>
  <c r="F48" s="1"/>
  <c r="I4"/>
  <c r="I36"/>
  <c r="P27" i="3" l="1"/>
  <c r="O12"/>
  <c r="Q6"/>
  <c r="R21"/>
  <c r="Q27"/>
  <c r="S21" s="1"/>
  <c r="E12"/>
  <c r="I35" i="2"/>
  <c r="I48"/>
  <c r="R27" i="3" l="1"/>
  <c r="S22"/>
  <c r="S23"/>
  <c r="S24"/>
  <c r="S25"/>
  <c r="S26"/>
  <c r="Q12"/>
  <c r="R12" s="1"/>
  <c r="R6"/>
  <c r="S27" l="1"/>
</calcChain>
</file>

<file path=xl/sharedStrings.xml><?xml version="1.0" encoding="utf-8"?>
<sst xmlns="http://schemas.openxmlformats.org/spreadsheetml/2006/main" count="11110" uniqueCount="3982">
  <si>
    <t>Seznam rozpočtových opatření za rok 2010</t>
  </si>
  <si>
    <t>Datum změny</t>
  </si>
  <si>
    <t>Číslo opatření</t>
  </si>
  <si>
    <t>Rozhodnutí</t>
  </si>
  <si>
    <t>Kdo schválil</t>
  </si>
  <si>
    <r>
      <t xml:space="preserve">Částka příjem          </t>
    </r>
    <r>
      <rPr>
        <sz val="8"/>
        <rFont val="Tahoma"/>
        <family val="2"/>
        <charset val="238"/>
      </rPr>
      <t>(v Kč)</t>
    </r>
  </si>
  <si>
    <r>
      <t xml:space="preserve">Částka výdaj            </t>
    </r>
    <r>
      <rPr>
        <sz val="8"/>
        <rFont val="Tahoma"/>
        <family val="2"/>
        <charset val="238"/>
      </rPr>
      <t>(v Kč)</t>
    </r>
  </si>
  <si>
    <r>
      <t xml:space="preserve">Přesun                              </t>
    </r>
    <r>
      <rPr>
        <sz val="8"/>
        <rFont val="Tahoma"/>
        <family val="2"/>
        <charset val="238"/>
      </rPr>
      <t xml:space="preserve"> (v Kč)</t>
    </r>
  </si>
  <si>
    <t>Poznámka</t>
  </si>
  <si>
    <t>Dříve projednaná rozpočtová opatření</t>
  </si>
  <si>
    <t>0001</t>
  </si>
  <si>
    <t>1529/10</t>
  </si>
  <si>
    <t>Rada</t>
  </si>
  <si>
    <t>Stanovení závazného ukazatele Krajské správě a údržbě silnic Plzeňského kraje</t>
  </si>
  <si>
    <t>0002</t>
  </si>
  <si>
    <t>1556/10</t>
  </si>
  <si>
    <t>Přesun v rámci oblasti Kultura a cestovní ruch, správce rozpočtu Kultura - SVK PK - plnění a koordinace plnění regionálních funkcí knihoven PK</t>
  </si>
  <si>
    <t>0003</t>
  </si>
  <si>
    <t>1557/10</t>
  </si>
  <si>
    <t>Dotace MF - UZ 98 074 - Účelové dotace na výdaje spojené s volbami do zastupitelstev v obcích</t>
  </si>
  <si>
    <t>0004</t>
  </si>
  <si>
    <t>1558/10</t>
  </si>
  <si>
    <t xml:space="preserve">Dotace MF - UZ 98278 - Náhrady škod způsobených vybranými zvláště chráněnými živočichy </t>
  </si>
  <si>
    <t>0005</t>
  </si>
  <si>
    <t>1559/10</t>
  </si>
  <si>
    <t>Přesun v rámci oblasti Fondy a programy EU - Financování Evropské kanceláře PK v Bruselu</t>
  </si>
  <si>
    <t>0006</t>
  </si>
  <si>
    <t>1560/10</t>
  </si>
  <si>
    <t>Přesun z oblasti OF-Individuální projekty do oblasti Kultura a cestovní ruch, správce rozpočtu Cestovní ruch - projekty ROP</t>
  </si>
  <si>
    <t>0007</t>
  </si>
  <si>
    <t>1561/10</t>
  </si>
  <si>
    <t>Přesun z oblasti OF-Individuální projekty do oblasti Kultura a cestovní ruch, správce rozpočtu Kultura - projekt FM EHP/Norska</t>
  </si>
  <si>
    <t>0008</t>
  </si>
  <si>
    <t>1562/10</t>
  </si>
  <si>
    <t>Přesun z oblasti OF-Individuální projekty do oblasti Zastupitelé - projekt Rozvoj společného akčního prostoru</t>
  </si>
  <si>
    <t>0009</t>
  </si>
  <si>
    <t>1563/10</t>
  </si>
  <si>
    <t>Přesun z oblasti OF-Individuální projekty do oblasti Majetek – projekty ROP</t>
  </si>
  <si>
    <t>0010</t>
  </si>
  <si>
    <t>1564/10</t>
  </si>
  <si>
    <t>Přesun z oblasti OF-Individuální projekty do oblasti Zdravotnictví - Rokycanská nemocnice, a.s., Domažlická nemocnice, a.s. - projekty ROP</t>
  </si>
  <si>
    <t>0011</t>
  </si>
  <si>
    <t>1614/10</t>
  </si>
  <si>
    <t>Přesun z oblasti OF - grantové programy do oblasti Zastupitelé - Fond hejtmanky a Neziskový sektor</t>
  </si>
  <si>
    <t>0012</t>
  </si>
  <si>
    <t>1615/10</t>
  </si>
  <si>
    <t>Přesun v rámci oblasti OF - Financování Regionální rady regionu soudržnosti Jihozápad</t>
  </si>
  <si>
    <t>0013</t>
  </si>
  <si>
    <t>1616/10</t>
  </si>
  <si>
    <t>Přesun v rámci oblasti Doprava – ŽJ, ZDO</t>
  </si>
  <si>
    <t>0014</t>
  </si>
  <si>
    <t>1621/10</t>
  </si>
  <si>
    <t>Dotace MŠMT – UZ 33155 - Dotace pro soukromé školy</t>
  </si>
  <si>
    <t>0015</t>
  </si>
  <si>
    <t>1623/10</t>
  </si>
  <si>
    <t>Přesun z oblasti OF-Individuální projekty do oblasti Kultura a cestovní ruch, správce rozpočtu Kultura - navýšení závazných ukazatelů u p. o. - projekty ROP, Cíl 3</t>
  </si>
  <si>
    <t>0016</t>
  </si>
  <si>
    <t>1622/10</t>
  </si>
  <si>
    <t>Přesun v rámci oblasti Zastupitelé</t>
  </si>
  <si>
    <t>0017</t>
  </si>
  <si>
    <t>1643/10</t>
  </si>
  <si>
    <t>Přesun z oblasti OF do oblasti Sociální věci - Humanitární zahraniční pomoc</t>
  </si>
  <si>
    <t>0018</t>
  </si>
  <si>
    <t>1644/10</t>
  </si>
  <si>
    <t>Přesun v rámci rozpočtové oblasti Zdravotnictví - zajištění poskytování služeb protialkoholní záchytné stanice - Městská poliklinika, s.r.o.</t>
  </si>
  <si>
    <t>0019</t>
  </si>
  <si>
    <t>1645/10</t>
  </si>
  <si>
    <t>Přesun v rámci rozpočtové oblasti Sociální věci - neinvestiční půjčené prostředky zřízeným příspěvkovým organizacím</t>
  </si>
  <si>
    <t>0020</t>
  </si>
  <si>
    <t>1646/10</t>
  </si>
  <si>
    <t>Navýšení výdajové části rozpočtu PK na rok 2010 v oblasti Školství a tělovýchova o zůstatky účelových dotací MŠMT z let 2008 – 2009 a o bankovní úroky připsané na samostatné bankovní účty v letech 2008 – 2009 - Globální granty Operačního programu Vzdělávání pro konkurenceschopnost - UZ 33006, UZ 33012, UZ 33887</t>
  </si>
  <si>
    <t>0021</t>
  </si>
  <si>
    <t>1647/10</t>
  </si>
  <si>
    <t xml:space="preserve">Přesun z oblasti OF–Individuální projekty do oblasti Doprava – projekty ROP </t>
  </si>
  <si>
    <t>0022</t>
  </si>
  <si>
    <t>1648/10</t>
  </si>
  <si>
    <t>Přesun finančních prostředků v rámci oblasti Kultura a cestovní ruch, správce rozpočtu Kultura - navýšení Grantového programu v oblasti kultury</t>
  </si>
  <si>
    <t>0023</t>
  </si>
  <si>
    <t>1649/10</t>
  </si>
  <si>
    <t>Přesun v rámci rozpočtové oblasti Životní prostředí - Program podpory PK pro začínající a stávající včelaře</t>
  </si>
  <si>
    <t>0024</t>
  </si>
  <si>
    <t>1650/10</t>
  </si>
  <si>
    <t xml:space="preserve">Navýšení příjmové a výdajové části rozpočtu PK o finanční prostředky zrušeného  Školního statku, Horšovský Týn, Horšov 1 v oblasti OF-rozpočtová rezerva </t>
  </si>
  <si>
    <t>0025</t>
  </si>
  <si>
    <t>1651/10</t>
  </si>
  <si>
    <t>Dotace MŠMT – UZ 33354 – Přímé náklady na vzdělávání – sportovní gymnázia</t>
  </si>
  <si>
    <t>0026</t>
  </si>
  <si>
    <t>1652/10</t>
  </si>
  <si>
    <t>Dotace MŠMT – UZ 33015 - Hustota a specifika</t>
  </si>
  <si>
    <t>0027</t>
  </si>
  <si>
    <t>1653/10</t>
  </si>
  <si>
    <t>Přesun z oblasti OF-Individuální projekty do oblasti Fondy a programy EU - projekt Technická pomoc ČR (kód 85) - Plzeňský kraj</t>
  </si>
  <si>
    <t>0028</t>
  </si>
  <si>
    <t>1654/10</t>
  </si>
  <si>
    <t>Přesun z oblasti OF-Rozpočtová rezerva do oblasti  Životní prostředí - konzultace, poradenství, anal., studie, právní sl. a navýšení Programu podpory PK pro začínající a stávající včelaře</t>
  </si>
  <si>
    <t>0029</t>
  </si>
  <si>
    <t>1655/10</t>
  </si>
  <si>
    <t>0030</t>
  </si>
  <si>
    <t>1656/10</t>
  </si>
  <si>
    <t>Přesun v rámci oblasti Doprava - Plzeňský organizátor veřejné dopravy</t>
  </si>
  <si>
    <t>0031</t>
  </si>
  <si>
    <t>1657/10</t>
  </si>
  <si>
    <t>Přesun z oblasti OF-Rozpočtová rezerva do oblasti Doprava a přesun v rámci oblasti Doprava - navýšení a změna ZU jednotlivých SÚS PK</t>
  </si>
  <si>
    <t>0032</t>
  </si>
  <si>
    <t>1658/10</t>
  </si>
  <si>
    <t>Přesun v rámci oblasti Kultura a cestovní ruch, správce rozpočtu Kultura - změna záv. ukazatele p.o. kraje - nákup uměleckých předmětů</t>
  </si>
  <si>
    <t>0033</t>
  </si>
  <si>
    <t>1659/10</t>
  </si>
  <si>
    <t>Přesun z oblasti OF-Individuální projekty do oblasti Školství a tělovýchova - navýšení závazného ukazatele u Gymnázia a SOŠ Rokycany - Cíl 3</t>
  </si>
  <si>
    <t>0034</t>
  </si>
  <si>
    <t>1660/10</t>
  </si>
  <si>
    <t>Navýšení výdajové části rozpočtu PK na rok 2010 v oblasti Školství a tělovýchova o zůstatky účelových dotací MŠMT z let 2008 - 2009 a o bankovní úroky připsané na samostatný bankovní účet v letech 2008 - 2009 - projekty technické pomoci Operačního programu Vzdělávání pro konkurenceschopnost - UZ 33007</t>
  </si>
  <si>
    <t>0035</t>
  </si>
  <si>
    <t>1661/10</t>
  </si>
  <si>
    <t>Přesun z oblasti OF-Individuální projekty do oblasti Vnitřní správa, správce rozpočtu Odbor informatiky  - projekt Informační strategie a projekt Virtuos</t>
  </si>
  <si>
    <t>0036</t>
  </si>
  <si>
    <t>1662/10</t>
  </si>
  <si>
    <t>Přesun v rámci oblasti Vnitřní správa, správce rozpočtu Odbor vnitřních věcí a krajský živnostenský úřad  - vyúčtování záloh za služby - Energo Služby s.r.o., provozovatel jídelny KÚPK</t>
  </si>
  <si>
    <t>0037</t>
  </si>
  <si>
    <t>1663/10</t>
  </si>
  <si>
    <t>Přesun z oblasti OF-Individuální projekty do oblasti Sociální věci - navýšení závazného ukazatele u DOZP Stod - projekt ROP „Sociálně terapeutické centrum“</t>
  </si>
  <si>
    <t>0038</t>
  </si>
  <si>
    <t>1664/10</t>
  </si>
  <si>
    <t>Navýšení výdajové části rozpočtu PK na rok 2010 o prostředky uložené v Rezervním fondu PK v oblastech Sociální věci, Zdravotnictví, Školství a tělovýchova, Kultura a cestovní ruch, správce rozpočtu Kultura a Doprava - navýšení závazných ukazatelů u p.o. kraje</t>
  </si>
  <si>
    <t>0039</t>
  </si>
  <si>
    <t>1665/10</t>
  </si>
  <si>
    <t>Přesun z oblasti OF-Individuální projekty do oblasti Školství a tělovýchova - navýšení závazného ukazatele u Gymnázia Plzeň, Mikulášské nám. 23 - projekt ROP „Rozvoj vzdělávacích kapacit“</t>
  </si>
  <si>
    <t>0040</t>
  </si>
  <si>
    <t>1666/10</t>
  </si>
  <si>
    <t>Dotace MŠMT – UZ 33008 – Financování dělených hodin pilotním gymnáziím zapojeným do projektu Pilot G Tvorba a ověřování pilotních ŠVP ve vybraných gymnáziích</t>
  </si>
  <si>
    <t>0041</t>
  </si>
  <si>
    <t>1667/10</t>
  </si>
  <si>
    <t>Přesun v oblasti Zdravotnictví - dotace organizaci Český červený kříž, oblastní spolek Plzeň - jih a sever</t>
  </si>
  <si>
    <t>0042</t>
  </si>
  <si>
    <t>1668/10</t>
  </si>
  <si>
    <t>Přesun v oblasti Zdravotnictví - stavební investice - Rokycanská nemocnice a.s.</t>
  </si>
  <si>
    <t>0043</t>
  </si>
  <si>
    <t>1669/10</t>
  </si>
  <si>
    <t>Dotace MŠMT – UZ 33166 – Soutěže</t>
  </si>
  <si>
    <t>0044</t>
  </si>
  <si>
    <t>1796/10</t>
  </si>
  <si>
    <t>Dotace z MF - EHP/Norsko - projekt CZ 0054 - Improvement of Care for the Movable Cultural Heritage in the Plzeň Region</t>
  </si>
  <si>
    <t>0045</t>
  </si>
  <si>
    <t>1797/10</t>
  </si>
  <si>
    <t>0046</t>
  </si>
  <si>
    <t>1798/10</t>
  </si>
  <si>
    <t>0047</t>
  </si>
  <si>
    <t>1799/10</t>
  </si>
  <si>
    <t>Dotace MD – UZ 27355 – Příspěvek na ztrátu dopravce z provozu veřejné osobní drážní dopravy</t>
  </si>
  <si>
    <t>0048</t>
  </si>
  <si>
    <t>1800/10</t>
  </si>
  <si>
    <t xml:space="preserve">Přesun v rámci oblasti Doprava - BESIP </t>
  </si>
  <si>
    <t>0049</t>
  </si>
  <si>
    <t>1801/10</t>
  </si>
  <si>
    <t>Přesun z oblasti OF- grantové programy do oblasti Bezpečný kraj - projekt Bezpečný kraj</t>
  </si>
  <si>
    <t>0050</t>
  </si>
  <si>
    <t>1802/10</t>
  </si>
  <si>
    <t>Přesun z oblasti OF-Individuální projekty do oblasti Životní prostředí - projekt Analýzy rizik pro vybrané lokality v PK</t>
  </si>
  <si>
    <t>0051</t>
  </si>
  <si>
    <t>1803/10</t>
  </si>
  <si>
    <t>Přesun v rámci oblasti Kultura a cestovní ruch, správce rozpočtu Kultura - Grantový program PK v oblasti Kultury - navýšení závaz. ukazatelů u p.o.</t>
  </si>
  <si>
    <t>0052</t>
  </si>
  <si>
    <t>1804/10</t>
  </si>
  <si>
    <t>Přesun v rámci oblasti Doprava - navýšení závazných ukazatelů u jednotlivých SÚS</t>
  </si>
  <si>
    <t>0053</t>
  </si>
  <si>
    <t>1805/10</t>
  </si>
  <si>
    <t>Přesun z oblasti OF-Individuální projekty do oblasti Doprava - navýšení závazných ukazatelů jednotlivých SÚS - projekty ROP</t>
  </si>
  <si>
    <t>0054</t>
  </si>
  <si>
    <t>1806/10</t>
  </si>
  <si>
    <t>Dotace MF - UZ 98074 - Účelové dotace na výdaje spojené s volbami do zastupitelstev v obcích</t>
  </si>
  <si>
    <t>0055</t>
  </si>
  <si>
    <t>1807/10</t>
  </si>
  <si>
    <t>Přesun v rámci oblasti Vnitřní správa, správce rozpočtu Odbor informatiky - Neinvestiční transfery krajům</t>
  </si>
  <si>
    <t>0056</t>
  </si>
  <si>
    <t>1808/10</t>
  </si>
  <si>
    <t>Přesun v rámci oblasti Regionální rozvoj - poskytnutí dotace na organizaci soutěže Stavba roku PK 2009</t>
  </si>
  <si>
    <t>0057</t>
  </si>
  <si>
    <t>1809/10</t>
  </si>
  <si>
    <t>Navýšení výdajové části rozpočtu PK na rok 2010 v oblasti Školství a tělovýchova o zůstatek grantu Domu zahraničních služeb MŠMT připsaný na samostatný bankovní účet v roce 2009 - projekt Comenius Regio</t>
  </si>
  <si>
    <t>0058</t>
  </si>
  <si>
    <t>1810/10</t>
  </si>
  <si>
    <t>Dotace MF - UZ 98278 - Náhrady škod způsobených vybranými zvláště chráněnými živočichy</t>
  </si>
  <si>
    <t>0059</t>
  </si>
  <si>
    <t>1811/10</t>
  </si>
  <si>
    <t>Přesun v rámci oblasti Školství a tělovýchova - navýšení závazného ukazatele u Dětského domova, Nepomuk - stavební investice</t>
  </si>
  <si>
    <t>0060</t>
  </si>
  <si>
    <t>1812/10</t>
  </si>
  <si>
    <t>Přesun z oblasti Majetek-havárie, nenadálé stavební úpravy do oblasti Školství a tělovýchova - navýšení závazných ukazatelů u p.o.</t>
  </si>
  <si>
    <t>0061</t>
  </si>
  <si>
    <t>1813/10</t>
  </si>
  <si>
    <t>Přesun z oblasti Zdravotnictví do oblasti Vnitřní správa, správce rozpočtu Odbor kancelář ředitele - Sbor krajských expertů</t>
  </si>
  <si>
    <t>0062</t>
  </si>
  <si>
    <t>1814/10</t>
  </si>
  <si>
    <t xml:space="preserve">Dotace MPSV - UZ 13307 – Transfery na státní příspěvek zřizovatelům zařízení pro děti vyžadující okamžitou pomoc </t>
  </si>
  <si>
    <t>0063</t>
  </si>
  <si>
    <t>1815/10</t>
  </si>
  <si>
    <t>Dotace MŠMT - UZ 33007 - Technická pomoc OP VK - projekty technické pomoci Operačního programu Vzdělávání pro konkurenceschopnost (oblasti podpory 5.1, 5.2)</t>
  </si>
  <si>
    <t>0064</t>
  </si>
  <si>
    <t>1816/10</t>
  </si>
  <si>
    <t>Přesun z oblasti OF-Grantové programy a z oblasti OF-Rozpočtová rezerva do oblasti Sociální věci - transfery subjektům v oblasti sociálních věcí a přesun v rámci oblasti Sociální věci - Individuální projekt Podpora transformace sociálních služeb - DOZP Stod, p.o.</t>
  </si>
  <si>
    <t>0065</t>
  </si>
  <si>
    <t>1817/10</t>
  </si>
  <si>
    <t>Přesun v rámci oblasti Životní prostředí - Posudky dle zákona č. 100/2001 Sb.</t>
  </si>
  <si>
    <t>0066</t>
  </si>
  <si>
    <t>1818/10</t>
  </si>
  <si>
    <t>Dotace MŠMT - UZ 33019 - Individuální projekt ostatní OP VK - neinvestice - EU</t>
  </si>
  <si>
    <t>0067</t>
  </si>
  <si>
    <t>1914/10</t>
  </si>
  <si>
    <t>Dotace MF - UZ 98335 - Účelové dotace krajům - TBC</t>
  </si>
  <si>
    <t>0068</t>
  </si>
  <si>
    <t>1934/10</t>
  </si>
  <si>
    <t>0069</t>
  </si>
  <si>
    <t>1935/10</t>
  </si>
  <si>
    <t>Dotace MŠMT - UZ 33007 - Technická pomoc OP VK - projekty technické pomoci Operačního programu Vzdělávání pro konkurenceschopnost (oblasti podpory 5.1, 5.2, 5.3)</t>
  </si>
  <si>
    <t>0070</t>
  </si>
  <si>
    <t>1936/10</t>
  </si>
  <si>
    <t>Přesun z oblasti OF - grantové programy do oblasti Školství a tělovýchova - Neinvestiční transfery subjektům v oblasti Školství a tělovýchova</t>
  </si>
  <si>
    <t>0071</t>
  </si>
  <si>
    <t>1937/10</t>
  </si>
  <si>
    <t>Přesun z oblasti OF - Rozpočtová rezerva do oblasti Životní prostředí - ekologické projekty, ostatní transfery mimo programy</t>
  </si>
  <si>
    <t>0072</t>
  </si>
  <si>
    <t>1938/10</t>
  </si>
  <si>
    <t>Dotace MŠMT - UZ 33155 - Dotace pro soukromé školy</t>
  </si>
  <si>
    <t>0073</t>
  </si>
  <si>
    <t>1939/10</t>
  </si>
  <si>
    <t>Přesun v rámci oblasti Doprava - změna závazných ukazatelů v rámci SÚS Rokycany</t>
  </si>
  <si>
    <t>0074</t>
  </si>
  <si>
    <t>1940/10</t>
  </si>
  <si>
    <t>Přesun v rámci oblasti Doprava - změna závazných ukazatelů jednotlivých SÚS</t>
  </si>
  <si>
    <t>0075</t>
  </si>
  <si>
    <t>1941/10</t>
  </si>
  <si>
    <t>Přesun v rámci oblasti Kultura a cestovní ruch, správce rozpočtu Kultura - navýšení závazných ukazatelů u p.o.</t>
  </si>
  <si>
    <t>0076</t>
  </si>
  <si>
    <t>1942/10</t>
  </si>
  <si>
    <t>Dotace MŠMT - UZ 33353 - Přímé náklady na vzdělávání</t>
  </si>
  <si>
    <t>0077</t>
  </si>
  <si>
    <t>1943/10</t>
  </si>
  <si>
    <t>Přesun v rámci oblasti Životní prostředí - navýšení závazných ukazatelů u p.o.</t>
  </si>
  <si>
    <t>0078</t>
  </si>
  <si>
    <t>1944/10</t>
  </si>
  <si>
    <t>Navýšení příjmové a výdajové části rozpočtu PK o odvody příspěvkových organizací SÚS Domažlice, SÚS Klatovy, SÚS Kralovice a SÚS Stříbro a navýšení ZU u Krajské SÚS PK</t>
  </si>
  <si>
    <t>0079</t>
  </si>
  <si>
    <t>1945/10</t>
  </si>
  <si>
    <t>Přesun v rámci oblasti Školství a tělovýchova, správce rozpočtu Tělovýchova - navýšení ZU u p.o. - programy v oblasti Tělovýchova</t>
  </si>
  <si>
    <t>0080</t>
  </si>
  <si>
    <t>1946/10</t>
  </si>
  <si>
    <t>Navýšení výdajové části rozpočtu v oblasti Doprava - navýšení závazných ukazatelů u p.o. z prostředků Rezervního fondu PK</t>
  </si>
  <si>
    <t>0081</t>
  </si>
  <si>
    <t>1947/10</t>
  </si>
  <si>
    <t>Přesun v rámci oblasti Zastupitelé - odměny členům výborů ZPK a komisí RPK</t>
  </si>
  <si>
    <t>0082</t>
  </si>
  <si>
    <t>1948/10</t>
  </si>
  <si>
    <t>Přesun v rámci oblasti Vnitřní správa - Fond zaměstnavatele - příspěvek na stravování, příspěvek na penzijní připojištění</t>
  </si>
  <si>
    <t>0083</t>
  </si>
  <si>
    <t>1949/10</t>
  </si>
  <si>
    <t>Navýšení příjmové a výdajové části rozpočtu PK o daň z přidané hodnoty za 4. čtvrtletí roku 2009</t>
  </si>
  <si>
    <t>0084</t>
  </si>
  <si>
    <t>1950/10</t>
  </si>
  <si>
    <t>Přesun v rámci oblasti Zdravotnictví - navýšení závazného ukazatele ZZS PK - provoz LSPP</t>
  </si>
  <si>
    <t>0085</t>
  </si>
  <si>
    <t>1951/10</t>
  </si>
  <si>
    <t>Přesun z oblasti OF - Rozpočtová rezerva do oblasti Krizové řízení a IZS - dotace obcím na nákup automobilových cisteren stříkacích</t>
  </si>
  <si>
    <t>0086</t>
  </si>
  <si>
    <t>1952/10</t>
  </si>
  <si>
    <t>Dotace MŠMT - UZ 33215 - Asistenti pedagogů v soukromých a církevních speciálních školách</t>
  </si>
  <si>
    <t>0087</t>
  </si>
  <si>
    <t>1953/10</t>
  </si>
  <si>
    <t>Přesun finančních prostředků z oblasti Majetek do oblasti Školství a tělovýchova, správce rozpočtu Školství - navýšení ZU p.o. - projektová dokumentace, havárie</t>
  </si>
  <si>
    <t>0088</t>
  </si>
  <si>
    <t>1954/10</t>
  </si>
  <si>
    <t>Přesun z oblasti OF - Rozpočtová rezerva do oblasti Školství a tělovýchova, správce rozpočtu Školství - navýšení ZU SPŠ strojnické, Plzeň - Rekonstrukce šaten a soc. zařízení</t>
  </si>
  <si>
    <t>0089</t>
  </si>
  <si>
    <t>1955/10</t>
  </si>
  <si>
    <t xml:space="preserve">Přesun z oblasti OF - Rozpočtová rezerva do oblasti Zastupitelé - dotace pro neziskový sektor </t>
  </si>
  <si>
    <t>0090</t>
  </si>
  <si>
    <t>1956/10</t>
  </si>
  <si>
    <t>Přesun z oblasti OF - Rozpočtová rezerva do oblasti Zastupitelé - Fond hejtmanky - Divadlo Pluto</t>
  </si>
  <si>
    <t>0091</t>
  </si>
  <si>
    <t>1957/10</t>
  </si>
  <si>
    <t>Dotace MŠMT - UZ 33354 - Přímé náklady vzdělávání - sportovní gymnázia</t>
  </si>
  <si>
    <t>0092</t>
  </si>
  <si>
    <t>1958/10</t>
  </si>
  <si>
    <t>Přesun v rámci oblasti Kultura a cestovní ruch, správce rozpočtu Kultura - projekt FM EHP/Norska - Muzeum a galerie severního Plzeňska v Mariánské Týnici</t>
  </si>
  <si>
    <t>0093</t>
  </si>
  <si>
    <t>1959/10</t>
  </si>
  <si>
    <t>Navýšení výdajové části rozpočtu v oblasti Kultura a cestovní ruch, správce rozpočtu Kultura - navýšení ZU u p.o. z prostředků RF PK</t>
  </si>
  <si>
    <t>0094</t>
  </si>
  <si>
    <t>1960/10</t>
  </si>
  <si>
    <t>Přesun v rámci oblasti Zdravotnictví - navýšení závazného ukazatele u DD Trnová - Tradiční setkání pracovníků kojeneckých ústavů, dětských domovů a dětských center</t>
  </si>
  <si>
    <t>Dříve projednaná rozpotová opatření</t>
  </si>
  <si>
    <t>0095</t>
  </si>
  <si>
    <t>1691/10</t>
  </si>
  <si>
    <t>Přesun z oblasti OF - Individuální projekty do oblasti Vnitřní správa, správce rozpočtu OKŘe - projekt Vzdělávání v eGovernmentu, Technologické centrum PK - mzdy</t>
  </si>
  <si>
    <t>0096</t>
  </si>
  <si>
    <t>1692/10</t>
  </si>
  <si>
    <t>Navýšení příjmové a výdajové části rozpočtu v oblasti Zdravotnictví - finanční prostředky poukázané Klatovskou nemocnicí a.s. a JUDr. Josefem Pelechem</t>
  </si>
  <si>
    <t>0097</t>
  </si>
  <si>
    <t>1963/10</t>
  </si>
  <si>
    <t xml:space="preserve">Přesun z oblasti OF - Rozpočtová rezerva do oblasti Kultura a cestovní ruch - Grantový program, Program na zachování a obnovu KP, dokumentace výstavby Klatovské nemocnice, Západočeské galerie, prezentace cestovního ruchu v Plzeňském deníku </t>
  </si>
  <si>
    <t>0098</t>
  </si>
  <si>
    <t>1964/10</t>
  </si>
  <si>
    <t>Přesun z oblasti Majetek do oblasti Zdravotnictví - havárie</t>
  </si>
  <si>
    <t>0099</t>
  </si>
  <si>
    <t>1965/10</t>
  </si>
  <si>
    <t>Přesun v rámci oblasti Sociální věci - dotace organizaci Síť mateřských center o.s.</t>
  </si>
  <si>
    <t>0100</t>
  </si>
  <si>
    <t>1966/10</t>
  </si>
  <si>
    <t>Přesun z oblasti OF - Rozpočtová rezerva do oblasti Životní prostředí - Posudky dle zákona č. 100/2001 Sb.</t>
  </si>
  <si>
    <t>0101</t>
  </si>
  <si>
    <t>1967/10</t>
  </si>
  <si>
    <t>Přesun v rámci oblasti Doprava - změna závazných ukazatelů jednotlivých SÚS - navýšení příspěvku na provoz; navýšení ZDO autobusy</t>
  </si>
  <si>
    <t>0102</t>
  </si>
  <si>
    <t>2052/10</t>
  </si>
  <si>
    <t>Navýšení finančních vztahů p.o. - projekty z globálních grantů Operačního programu Vzdělávání pro konkurenceschopnost - UZ 33006</t>
  </si>
  <si>
    <t>0103</t>
  </si>
  <si>
    <t>2053/10</t>
  </si>
  <si>
    <t>Přesun v rámci oblasti Školství a tělovýchova, správce rozpočtu Školství - změna strojní investice na stavební investici</t>
  </si>
  <si>
    <t>0104</t>
  </si>
  <si>
    <t>2054/10</t>
  </si>
  <si>
    <t>0105</t>
  </si>
  <si>
    <t>2055/10</t>
  </si>
  <si>
    <t>Přesun v rámci oblasti OF - úhrada daně z přidané hodnoty za I. čtvrtletí roku 2010</t>
  </si>
  <si>
    <t>0106</t>
  </si>
  <si>
    <t>2056/10</t>
  </si>
  <si>
    <t>Přesun v rámci oblasti Školství a tělovýchova, správce rozpočtu Školství - Řemeslo má zlaté dno</t>
  </si>
  <si>
    <t>0107</t>
  </si>
  <si>
    <t>2057/10</t>
  </si>
  <si>
    <t>Přesun z oblasti OF - Rozpočtová rezerva do oblasti Vnitřní správa, správce rozpočtu OKŘe - navýšení počtu zaměstnanců KÚ PK - mzdy</t>
  </si>
  <si>
    <t>0108</t>
  </si>
  <si>
    <t>2062/10</t>
  </si>
  <si>
    <t>Přesun z oblasti OF - Rozpočtová rezerva do oblasti Školství a tělovýchova, správce rozpočtu Tělovýchova - Bambiriáda 2010</t>
  </si>
  <si>
    <t>0109</t>
  </si>
  <si>
    <t>2065/10</t>
  </si>
  <si>
    <t>Přesun z oblasti Fondy a programy EU do oblasti Zastupitelé - projekt Rozvoj společného akčního prostoru</t>
  </si>
  <si>
    <t>0110</t>
  </si>
  <si>
    <t>2066/10</t>
  </si>
  <si>
    <t>Dotace MPSV - UZ 13233 - projekt z Operačního programu Lidské zdroje a zaměstnanost "Podpora sociálních služeb v Plzeňském kraji"</t>
  </si>
  <si>
    <t>0111</t>
  </si>
  <si>
    <t>2093/10</t>
  </si>
  <si>
    <t>Dotace MF - UZ 98071 - Účelové dotace na výdaje spojené s volbami do Parlamentu České republiky</t>
  </si>
  <si>
    <t>0112</t>
  </si>
  <si>
    <t>2094/10</t>
  </si>
  <si>
    <t>Dotace SÚJB - UZ 75115 - Vyhledávání budov se zvýšeným obsahem radonu</t>
  </si>
  <si>
    <t>0113</t>
  </si>
  <si>
    <t>2095/10</t>
  </si>
  <si>
    <t>0114</t>
  </si>
  <si>
    <t>2096/10</t>
  </si>
  <si>
    <t>Přesun v rámci oblasti Životní prostředí - soutěž "V přírodě s přírodou" - navýšení závazných ukazatelů u p.o.</t>
  </si>
  <si>
    <t>0115</t>
  </si>
  <si>
    <t>2097/10</t>
  </si>
  <si>
    <t>Dotace MŠMT - UZ 33160 - Projekty romské komunity</t>
  </si>
  <si>
    <t>0116</t>
  </si>
  <si>
    <t>2098/10</t>
  </si>
  <si>
    <t>Dotace MŠMT - UZ 33457 - Asistenti pedagogů pro děti, žáky a studenty se sociálním znevýhodněním</t>
  </si>
  <si>
    <t>0117</t>
  </si>
  <si>
    <t>2099/10</t>
  </si>
  <si>
    <t>Přesun v rámci oblasti Doprava - zpoložky Studie, veř. zakázky, dopr. obslužnosti na položku ZDO autobusy - linka Plzeň-Domažlice-Cham</t>
  </si>
  <si>
    <t>0118</t>
  </si>
  <si>
    <t>2100/10</t>
  </si>
  <si>
    <t>Dotace MMR - UZ 17007 - Přeshraniční spolupráce - Cíl 3 - program č. 117410 - NIV - SR - pro SPŠ Tachov</t>
  </si>
  <si>
    <t>0119</t>
  </si>
  <si>
    <t>2101/10</t>
  </si>
  <si>
    <t>Přesun finančních prostředků v rámci oblasti Doprava - Vědeckotechnická společnost západních Čech - konference DOPRAVA 2010</t>
  </si>
  <si>
    <t>0120</t>
  </si>
  <si>
    <t>2102/10</t>
  </si>
  <si>
    <t>Přesun z oblasti Ostatní financování - rozpočtová rezerva do oblasti Životní prostředí - Svazek obcí okresu Plzeň-jih pro odpadové hospodářství</t>
  </si>
  <si>
    <t>0121</t>
  </si>
  <si>
    <t>2103/10</t>
  </si>
  <si>
    <t>Přesun z oblasti Ostatní financování - Individuální projekty do oblasti Školství a tělovýchova, správce rozpočtu Školství - Gymnázium Plasy - projekt v rámci OP Přeshraniční spolupráce Cíl 3 ČR</t>
  </si>
  <si>
    <t>0122</t>
  </si>
  <si>
    <t>2104/10</t>
  </si>
  <si>
    <t>Dotace z OP ŽP - Implementace a péče o území soustavy Natura 2000 v PK</t>
  </si>
  <si>
    <t>0123</t>
  </si>
  <si>
    <t>2105/10</t>
  </si>
  <si>
    <t>Přesun z oblasti Ostatní financování - Individuální projekty do oblasti Doprava - navýšení ZU - projekty ROP, neinvestiční akce na silnicích</t>
  </si>
  <si>
    <t>0124</t>
  </si>
  <si>
    <t>2106/10</t>
  </si>
  <si>
    <t>Přesun v rámci oblasti Školství a tělovýchova, správce rozpočtu Tělovýchova - dotace na akci "Den s fyzikou" - Jednota českých matematiků a fyziků</t>
  </si>
  <si>
    <t>0125</t>
  </si>
  <si>
    <t>2107/10</t>
  </si>
  <si>
    <t>Dotace z ROP NUTS II Jihozápad - UZ 83001, 83005, 83501 a 83505 - za projekt "Nová expozice Muzea a galerie severního Plzeňska v barokním Santiniho probošství v Mariánské Týnici"</t>
  </si>
  <si>
    <t>0126</t>
  </si>
  <si>
    <t>2108/10</t>
  </si>
  <si>
    <t>Dotace MK - UZ 34070 - Kulturní aktivity</t>
  </si>
  <si>
    <t>0127</t>
  </si>
  <si>
    <t>2109/10</t>
  </si>
  <si>
    <t>Přesun z oblasti Majetek do oblasti Kultura a cestovní ruch, správce rozpočtu Kultura - navýšení ZU Muzeu a galerii severního Plzeňska - havárie</t>
  </si>
  <si>
    <t>0128</t>
  </si>
  <si>
    <t>2110/10</t>
  </si>
  <si>
    <t>Přesun v rámci oblasti Zastupitelé - nákup knihy Svědectví</t>
  </si>
  <si>
    <t>0129</t>
  </si>
  <si>
    <t>2111/10</t>
  </si>
  <si>
    <t>Přesun z Ostatního financování - Grantové programy do oblasti Sociální věci - Neinvestiční transfery subjektům v oblasti sociálních věcí; přesun v rámci oblasti Sociální věci - dotace Diakonii CČE - "Setkání dvou světů"</t>
  </si>
  <si>
    <t>0130</t>
  </si>
  <si>
    <t>2112/10</t>
  </si>
  <si>
    <t>Přesun finančních prostředků v rámci oblasti Sociální věci - Program podpory projektů mateřských center v PK 2010</t>
  </si>
  <si>
    <t>0131</t>
  </si>
  <si>
    <t>2113/10</t>
  </si>
  <si>
    <t>Přesun v rámci oblasti Sociální věci - navýšení ZU Domova klidného stáří v Žinkovech - havárie</t>
  </si>
  <si>
    <t>0132</t>
  </si>
  <si>
    <t>2114/10</t>
  </si>
  <si>
    <t>Dotace MŠMT - UZ 33017 - Školní potřeby pro žáky 1. ročníku základního vzdělávání</t>
  </si>
  <si>
    <t>0133</t>
  </si>
  <si>
    <t>2115/10</t>
  </si>
  <si>
    <t>Dotace MMR - UZ 17007 - Přeshraniční spolupráce - Cíl 3 - program č. 117410 - NIV - SR - pro ZŠ speciální, Plzeň</t>
  </si>
  <si>
    <t>0134</t>
  </si>
  <si>
    <t>2207/10</t>
  </si>
  <si>
    <t>Přesun finančních prostředků v rámci oblasti Životní prostředí - Svazek obcí okresu Pzeň-jih pro odpadové hospodářství na zabezpeční svozu nebezpečných odpadů</t>
  </si>
  <si>
    <t>0135</t>
  </si>
  <si>
    <t>2208/10</t>
  </si>
  <si>
    <t>Přesun finančních prostředků z oblasti Majetek do oblasti KPP - dofinancování nákupu nemovitostí objektu Muzea Jindřicha Jindřicha</t>
  </si>
  <si>
    <t>0136</t>
  </si>
  <si>
    <t>2209/10</t>
  </si>
  <si>
    <t>Přesun finančních prostředků z oblasti OF - Rozpočtová rezerva do oblasti Krizové řízení a IZS - Dary krajům na likvidaci povodňových škod</t>
  </si>
  <si>
    <t>0137</t>
  </si>
  <si>
    <t>2210/10</t>
  </si>
  <si>
    <t>Dotace MF - UZ 98297 - Účelové dotace krajům na likvidaci léčiv</t>
  </si>
  <si>
    <t>0138</t>
  </si>
  <si>
    <t>2211/10</t>
  </si>
  <si>
    <t>Dotace MPSV - UZ 13307 - Transfery na státní příspěvek zřizovatelům zařízení pro děti vyžadující okamžitou pomoc</t>
  </si>
  <si>
    <t>0139</t>
  </si>
  <si>
    <t>2227/10</t>
  </si>
  <si>
    <t>Přesun z OF - Rozpočtová rezerva do oblasti KPP - dotace Divadlu J.K.Tyla a Plzeňské filharmonii</t>
  </si>
  <si>
    <t>0140</t>
  </si>
  <si>
    <t>2256/10</t>
  </si>
  <si>
    <t>Přesun z oblasti Doprava do Vnitřní správy, OIT - Financování informatiky organizací zřízených PK - Krajská SÚS</t>
  </si>
  <si>
    <t>0141</t>
  </si>
  <si>
    <t>2257/10</t>
  </si>
  <si>
    <t>0142</t>
  </si>
  <si>
    <t>2258/10</t>
  </si>
  <si>
    <t>Přesun v rámci oblasti Kultura - ZČG - nákup uměleckých předmětů</t>
  </si>
  <si>
    <t>0143</t>
  </si>
  <si>
    <t>2259/10</t>
  </si>
  <si>
    <t>Dotace ÚV - UZ 04001 - Podpora koordinátorů romských poradců</t>
  </si>
  <si>
    <t>0144</t>
  </si>
  <si>
    <t>2260/10</t>
  </si>
  <si>
    <t>Přesun z oblasti Majetek do oblasti Školství - navýšení neinv. závazných ukazatelů u p.o. - havárie</t>
  </si>
  <si>
    <t>0145</t>
  </si>
  <si>
    <t>2261/10</t>
  </si>
  <si>
    <t>Přesun z OF - Individuální projekty do oblasti Školství a tělovýchova, správce rozpočtu Školství - ZŠ speciální Plzeň - projekt v rámci programu Cíl 3</t>
  </si>
  <si>
    <t>0146</t>
  </si>
  <si>
    <t>2262/10</t>
  </si>
  <si>
    <t>Přesun v rámci oblasti Kultura a cestovní ruch, správce rozpočtu Kultura - navýšení ZU u Muzea a gelerie severního Plzeňska a ZUŠ Tachov</t>
  </si>
  <si>
    <t>0147</t>
  </si>
  <si>
    <t>2263/10</t>
  </si>
  <si>
    <t>Přesun v rámci oblasti Kultura a cestovní ruch, správce rozpočtu Kultura - Přesun z investic do neinvestic u Západočeského muzea v Plzni</t>
  </si>
  <si>
    <t>0148</t>
  </si>
  <si>
    <t>2264/10</t>
  </si>
  <si>
    <t>Dotace MMR - UZ 17007 - Přeshraniční spolupráce - Cíl 3 - program č. 117410 - NIV - SR - projekt Západočeského muzea v Plzni</t>
  </si>
  <si>
    <t>0149</t>
  </si>
  <si>
    <t>2265/10</t>
  </si>
  <si>
    <t>Dotace MK - UZ 34053 - Veřejné informační služby knihoven - neinvestice, UZ 34070 - Kulturní aktivity, UZ 34544 - Veřejné informační služby knihoven - investice</t>
  </si>
  <si>
    <t>0150</t>
  </si>
  <si>
    <t>2266/10</t>
  </si>
  <si>
    <t>Přesun v rámci oblasti Zdravotnictví - navýšení příspěvku na provoz ZZS PK</t>
  </si>
  <si>
    <t>0151</t>
  </si>
  <si>
    <t>2267/10</t>
  </si>
  <si>
    <t>Přesun z Ostatního financování - rozpočtová rezerva do Zastupitelů, KHE - tisk a distribuce měsíčníku PK, redakční činnost a propagační vysílání PK v TV ZAK</t>
  </si>
  <si>
    <t>0152</t>
  </si>
  <si>
    <t>2268/10</t>
  </si>
  <si>
    <t>Přesun v rámci oblasti Zdravotnictví - Manažerský informační systém, nadační jmění Nadačního fondu PK, základní kapitál Zdravotnického holdingu PK</t>
  </si>
  <si>
    <t>0153</t>
  </si>
  <si>
    <t>2269/10</t>
  </si>
  <si>
    <t>Přesun z OF - Grantové programy do oblasti Sociální věci a přesun v rámci oblasti Sociální věci - Program podpory sociálních služeb v PK</t>
  </si>
  <si>
    <t>0154</t>
  </si>
  <si>
    <t>2270/10</t>
  </si>
  <si>
    <t>Přesun z oblasti Zastupitelé - Fond Hejtmanky do oblasti Školství - Sportovní hry MŠ 2010</t>
  </si>
  <si>
    <t>0155</t>
  </si>
  <si>
    <t>2271/10</t>
  </si>
  <si>
    <t>Dotace MŠMT - UZ 33018 - Rozvojový program na podporu škol, které realizují inkluzivní vzdělávání a vzdělávání dětí se sociokulturním znevýhodněním</t>
  </si>
  <si>
    <t>0156</t>
  </si>
  <si>
    <t>2272/10</t>
  </si>
  <si>
    <t>0157</t>
  </si>
  <si>
    <t>2273/10</t>
  </si>
  <si>
    <t>Přesun z oblasti Ostatní financování - Grantové programy do oblasti Sociální věci - dotace Sdružení Romů a národnostních menšin PK a občanskému sdružení AMARE ČHAVE</t>
  </si>
  <si>
    <t>0158</t>
  </si>
  <si>
    <t>2274/10</t>
  </si>
  <si>
    <t>Navýšení závazných ukazatelů u příspěvkových organizací PK - Školství - rozdělení finančních prostředků z Rezervního fondu</t>
  </si>
  <si>
    <t>0159</t>
  </si>
  <si>
    <t>2275/10</t>
  </si>
  <si>
    <t>Dotace OPŽP - Analýzy rizik pro vybrané lokality v PK (UZ 15373 - Podpora zkvalitnění nakládání s odpady a odstraňování starých ekolog. zátěží - program č. 115240 - SR - NIV, UZ 15374 - Podpora zkvalitnění nakládání s odpady a odstraňování starých ekolog. zátěží - program č. 115240 - EU - NIV)</t>
  </si>
  <si>
    <t>0160</t>
  </si>
  <si>
    <t>2276/10</t>
  </si>
  <si>
    <t>Navýšení závazných ukazatelů u příspěvkových organizací PK - Doprava - rozdělení finančních prostředků z Rezervního fondu</t>
  </si>
  <si>
    <t>0161</t>
  </si>
  <si>
    <t>2277/10</t>
  </si>
  <si>
    <t>Přesun v rámci oblasti Kultura a cestovní ruch, správce rozpočtu Kultura - navýšení ZU u Studijní a vědecké knihovny PK - vydání publikace "Poklady Studijní a vědecké knihovny PK"</t>
  </si>
  <si>
    <t>0162</t>
  </si>
  <si>
    <t>2278/10</t>
  </si>
  <si>
    <t>Navýšení závazného ukazatele u Studijní a vědecké knihovny PK na investiční akci "Rekonstrukce III. NP" - Kultura - rozdělení finančních prostředků z Rezervního fondu PK</t>
  </si>
  <si>
    <t>0163</t>
  </si>
  <si>
    <t>2345/10</t>
  </si>
  <si>
    <t>Přesun v rámci oblasti Školství a tělovýchova, správce rozpočtu Školství - navýšení finančních vztahů PO - GG 1.1, 1.2, 1.3 OP VK</t>
  </si>
  <si>
    <t>0164</t>
  </si>
  <si>
    <t>2346/10</t>
  </si>
  <si>
    <t>Přesun z oblasti Majetek do oblasti Zdravotnictví - opravy v Klatovské nemocnici, Stodské nemocnici, navýšení ZU DD Trnová - havárie</t>
  </si>
  <si>
    <t>0165</t>
  </si>
  <si>
    <t>2347/10</t>
  </si>
  <si>
    <t>Přesun z oblasti Majetek do oblasti Sociální věci - navýšení ZU u CSS Domažlice - havárie</t>
  </si>
  <si>
    <t>0166</t>
  </si>
  <si>
    <t>2348/10</t>
  </si>
  <si>
    <t>Dotace MŠMT - UZ 33354 - Přímé náklady na vzdělávání - Sportovní gymnázia</t>
  </si>
  <si>
    <t>0167</t>
  </si>
  <si>
    <t>2349/10</t>
  </si>
  <si>
    <t>Dotace MŠMT - UZ 33339 - Program podpory vzdělávání národnostních menšin</t>
  </si>
  <si>
    <t>0168</t>
  </si>
  <si>
    <t>2350/10</t>
  </si>
  <si>
    <t>0169</t>
  </si>
  <si>
    <t>2351/10</t>
  </si>
  <si>
    <t xml:space="preserve">Přesun mezi investicemi a neinvesticemi v rámci oblasti Doprava - SÚS Domažlice </t>
  </si>
  <si>
    <t>0170</t>
  </si>
  <si>
    <t>2352/10</t>
  </si>
  <si>
    <t>Navýšení výdajové části rozpočtu v oblasti Zdravotnictví - Služby obecného hospodářského zájmu - rozdělení finančních prostředků z Rezervního fondu</t>
  </si>
  <si>
    <t>0171</t>
  </si>
  <si>
    <t>2353/10</t>
  </si>
  <si>
    <t>Přesun v rámci oblasti Regionální rozvoj - Program stabilizace a obnovy venkova PK 2010</t>
  </si>
  <si>
    <t>0172</t>
  </si>
  <si>
    <t>2354/10</t>
  </si>
  <si>
    <t>Přesun v rámci oblasti Regionální rozvoj - Ocenění obcí v rámci soutěže Vesnice roku</t>
  </si>
  <si>
    <t>0173</t>
  </si>
  <si>
    <t>2355/10</t>
  </si>
  <si>
    <t>Přesun v rámci oblasti Životní prostředí - Publikační a informační činnost</t>
  </si>
  <si>
    <t>0174</t>
  </si>
  <si>
    <t>2356/10</t>
  </si>
  <si>
    <t>Přesun z oblasti Majetek do oblasti Kultura a cestovní ruch, správce rozpočtu Kultura - navýšení ZU Západočeskému muzeu v Plzni - havárie</t>
  </si>
  <si>
    <t>0175</t>
  </si>
  <si>
    <t>2357/10</t>
  </si>
  <si>
    <t>Přesun v rámci oblasti životní prostředí - soutěž "V přírodě s přírodou"</t>
  </si>
  <si>
    <t>0176</t>
  </si>
  <si>
    <t>2358/10</t>
  </si>
  <si>
    <t>Přesun v rámci oblasti Doprava - akce "Most ev.č. 19125-1 přes Luční potok před obcí Klenová" - vícenáklady - navýšení DPH</t>
  </si>
  <si>
    <t>0177</t>
  </si>
  <si>
    <t>2359/10</t>
  </si>
  <si>
    <t>Dotace z RRRSJZ - UZ 83501 - ROP RS Jihozápad - IV - SR; UZ 83505 - ROP RS Jihozápad - IV - EU - projekt "Přeložka silnice II/190 Železná Ruda - Špičák"</t>
  </si>
  <si>
    <t>0178</t>
  </si>
  <si>
    <t>2360/10</t>
  </si>
  <si>
    <t>Přesun z oblasti Majetek do oblasti Školství a tělovýchova, správce rozpočtu Školství - navýšení ZU u Gymnázia Stříbro - strojní investice</t>
  </si>
  <si>
    <t>0179</t>
  </si>
  <si>
    <t>2361/10</t>
  </si>
  <si>
    <t>Přesun v rámci oblasti Školství a tělovýchova - program HANDICAP</t>
  </si>
  <si>
    <t>0180</t>
  </si>
  <si>
    <t>2362/10</t>
  </si>
  <si>
    <t>Dotace MPSV - UZ 13233 - Operační program Lidské zdroje a zaměstnanost - projekt "Krok do života 1"</t>
  </si>
  <si>
    <t>0181</t>
  </si>
  <si>
    <t>2363/10</t>
  </si>
  <si>
    <t>Navýšení výdajové části rozpočtu v oblasti Školství a tělovýchova, správce rozpočtu Tělovýchova - dotace na podporu sportovních aktivit - rozdělení finančních prostředků z Rezervního fondu PK</t>
  </si>
  <si>
    <t>0182</t>
  </si>
  <si>
    <t>2364/10</t>
  </si>
  <si>
    <t>0183</t>
  </si>
  <si>
    <t>2365/10</t>
  </si>
  <si>
    <t>0184</t>
  </si>
  <si>
    <t>2366/10</t>
  </si>
  <si>
    <t>Přesun z OF - Individuální projekty do oblasti Vnitřní správa, OIT - projekt Technologické centrum Plzeňského kraje</t>
  </si>
  <si>
    <t>0185</t>
  </si>
  <si>
    <t>2417/10</t>
  </si>
  <si>
    <t>Dotace MK - UZ 34053 - Veřejné informační služby knihoven - neinvestice</t>
  </si>
  <si>
    <t>0186</t>
  </si>
  <si>
    <t>2428/10</t>
  </si>
  <si>
    <t>0187</t>
  </si>
  <si>
    <t>2429/10</t>
  </si>
  <si>
    <t>Dotace MD - UZ 27001 - Čekání řidičů mezi spoji veřejné linkové autobusové dopravy</t>
  </si>
  <si>
    <t>0188</t>
  </si>
  <si>
    <t>2461/10</t>
  </si>
  <si>
    <t>ISPROFIN k 31.7.2010</t>
  </si>
  <si>
    <t>0189</t>
  </si>
  <si>
    <t>2462/10</t>
  </si>
  <si>
    <t>Navýšení příjmů a výdajů rozpočtu PK - Daň z příjmů právnických osob za kraj za rok 2009</t>
  </si>
  <si>
    <t>0190</t>
  </si>
  <si>
    <t>2463/10</t>
  </si>
  <si>
    <t>Finanční vypořádání za rok 2009</t>
  </si>
  <si>
    <t>0191</t>
  </si>
  <si>
    <t>2464/10</t>
  </si>
  <si>
    <t>Přesun finančních prostředků v rámci rozpočtové oblasti Zatupitelé - Neziskový sektor</t>
  </si>
  <si>
    <t>0192</t>
  </si>
  <si>
    <t>2465/10</t>
  </si>
  <si>
    <t>Navýšení výdajů v oblasti Regionální rozvoj - Dotace na podporu činnosti MAS PK - rozdělení prostředků z RF PK</t>
  </si>
  <si>
    <t>0193</t>
  </si>
  <si>
    <t>2466/10</t>
  </si>
  <si>
    <t>Dotace MMR - UZ 17007 - Přeshraniční spolupráce - Cíl 3 - program č. 117410 - NIV - SR - pro SPŠ dopravní Plzeň</t>
  </si>
  <si>
    <t>0194</t>
  </si>
  <si>
    <t>2467/10</t>
  </si>
  <si>
    <t>Dotace MMR - UZ 17007, 17883 - Přeshraniční spolupráce - Cíl 3 - program č. 117410 - NIV, IV - SR - pro SOŠ Stříbro</t>
  </si>
  <si>
    <t>0195</t>
  </si>
  <si>
    <t>2468/10</t>
  </si>
  <si>
    <t>Přesun v rámci oblasti Doprava - změna závazných ukazatelů u SÚS</t>
  </si>
  <si>
    <t>0196</t>
  </si>
  <si>
    <t>2469/10</t>
  </si>
  <si>
    <t>Dotace MŠMT - UZ 33163 - Program protidrogové politiky</t>
  </si>
  <si>
    <t>0197</t>
  </si>
  <si>
    <t>2470/10</t>
  </si>
  <si>
    <t>Dotace MŠMT - UZ 33435 - Bezplatná příprava dětí azylantů, účastníků řízení o azyl a dětí osob se státní příslušností jiného členského státu EU k začlenění do základního vzdělávání</t>
  </si>
  <si>
    <t>0198</t>
  </si>
  <si>
    <t>2471/10</t>
  </si>
  <si>
    <t>Přesun z oblasti Ostatní financování - Individuální projekty do oblasti Vnitřní správa, správce rozpočtu OIT a přesun v rámci oblasti Vnitřní správa, správce rozpočtu OIT - projekty Technologické centrum, Digitální mapa veřejné správy PK</t>
  </si>
  <si>
    <t>0199</t>
  </si>
  <si>
    <t>2472/10</t>
  </si>
  <si>
    <t>Dotace z Dispozičního fondu Cíl 3 prostřednictvím Euroregionu Šumava, jihozápadní Čechy - projekt Sympozium Venkova a rozvoj podnikání</t>
  </si>
  <si>
    <t>0200</t>
  </si>
  <si>
    <t>2473/10</t>
  </si>
  <si>
    <t>Přesun v rámci oblasti Ostatní financování - Finanční příspěvky jednotlivým organizacím</t>
  </si>
  <si>
    <t>0201</t>
  </si>
  <si>
    <t>2474/10</t>
  </si>
  <si>
    <t>Dotace ze SÚJB - UZ 75115 - Vyhledávání budov se zvýšeným obsahem radonu</t>
  </si>
  <si>
    <t>0202</t>
  </si>
  <si>
    <t>2475/10</t>
  </si>
  <si>
    <t>Dotace MF - UZ 98278 - Náhrady škod zpoůsobených vybranými zvláště chráněnými živočichy</t>
  </si>
  <si>
    <t>0203</t>
  </si>
  <si>
    <t>2476/10</t>
  </si>
  <si>
    <t>Přesun z rozpočtové oblasti Ostatní financování - Rozpočtová rezerva do Vnitřní správy - správce rozpočtu OKŘE - navýšení mzdových nákladů</t>
  </si>
  <si>
    <t>0204</t>
  </si>
  <si>
    <t>2477/10</t>
  </si>
  <si>
    <t>Přesun finančních prostředků z rozpočtové oblasti Ostatní financování - Rozpočtová rezerva do oblasti Regionální rozvoj - řešení problematiky havarijních stavů objektů v majetku obcí</t>
  </si>
  <si>
    <t>0205</t>
  </si>
  <si>
    <t>2478/10</t>
  </si>
  <si>
    <t>Navýšení výdajové části rozpočtu PK v oblasti Životní prostředí z prostředků uložených v Rezervním fondu PK - Drobné vodohospodářské akce, dotace obcím, poskytování finančních příspěvků na hospodaření v lesích</t>
  </si>
  <si>
    <t>0206</t>
  </si>
  <si>
    <t>2479/10</t>
  </si>
  <si>
    <t>Přesun finančních prostředků v rámci oblasti Životní prostředí - Mezinárodní spolupráce - projekt Vodní škola</t>
  </si>
  <si>
    <t>0207</t>
  </si>
  <si>
    <t>2480/10</t>
  </si>
  <si>
    <t>Přesun z oblasti Ostatní financování - Rozpočtová rezerva do oblasti Kultura a cestovní ruch, správce rozpočtu Kultura - Dotace Plzeňské filharmonii, o.p.s.</t>
  </si>
  <si>
    <t>0208</t>
  </si>
  <si>
    <t>2481/10</t>
  </si>
  <si>
    <t>0209</t>
  </si>
  <si>
    <t>2482/10</t>
  </si>
  <si>
    <t>Přesun v rámci oblasti Zdravotnictví - dotace organizaci Český červený kříž, oblastní spolek Plzeň - jih a sever</t>
  </si>
  <si>
    <t>0210</t>
  </si>
  <si>
    <t>2483/10</t>
  </si>
  <si>
    <t>Dotace z FM EHP/Norska na projekt CZ 0054 - Improvement of Care for the Movable Cultural Heritage ind the Plzeň Region - UZ 95206, 95816</t>
  </si>
  <si>
    <t>0211</t>
  </si>
  <si>
    <t>2484/10</t>
  </si>
  <si>
    <t>Přesun z oblasti Zastupitelé do oblasti Kultura a cestovní ruch, správce rozpočtu Cestovní ruch - pronájem 3 ks výstavních expozic na Veletrhu cestovního ruchu PK - ITEP 2010</t>
  </si>
  <si>
    <t>0212</t>
  </si>
  <si>
    <t>2485/10</t>
  </si>
  <si>
    <t>Přesun v rámci oblasti Majetek - Platby daní a poplatků</t>
  </si>
  <si>
    <t>0213</t>
  </si>
  <si>
    <t>2486/10</t>
  </si>
  <si>
    <t>Přesun z oblasti Majetek do oblastí Zdravotnictví, Sociální věci, Školství a tělovýchova - navýšení ZU u p.o. - odstranění havarijních stavů</t>
  </si>
  <si>
    <t>0214</t>
  </si>
  <si>
    <t>2487/10</t>
  </si>
  <si>
    <t>Navýšení závazného ukazatele u ZZS PK, p.o. - dotace statutárního města Plzeň na zajištění LSPP</t>
  </si>
  <si>
    <t>0215</t>
  </si>
  <si>
    <t>2488/10</t>
  </si>
  <si>
    <t>Navýšení příjmů a výdajů o dotace z projektů spolufinancovaných z EU a z ostatních zahraničních zdrojů - navýšení závazných ukazatelů u p.o. v oblasti Doprava</t>
  </si>
  <si>
    <t>0216</t>
  </si>
  <si>
    <t>2489/10</t>
  </si>
  <si>
    <t>Přesun v oblasti Doprava - Studie, veř. zakázky, dopravní obslužnosti</t>
  </si>
  <si>
    <t>0217</t>
  </si>
  <si>
    <t>2490/10</t>
  </si>
  <si>
    <t>Přesun z oblasti Ostatní financování - Rozpočtová rezerva do oblasti Kultura a cestovní ruch, správce rozpočtu Kultura - navýšení ZU u p.o.</t>
  </si>
  <si>
    <t>0218</t>
  </si>
  <si>
    <t>2491/10</t>
  </si>
  <si>
    <t>Přesun z oblasti Ostatní financování - Rozpočtová rezerva do oblasti Krizové řízení a IZS - Dary krajům na likvidaci povodňových škod</t>
  </si>
  <si>
    <t>0219</t>
  </si>
  <si>
    <t>2492/10</t>
  </si>
  <si>
    <t>Dotace z MK - UZ 34090 - Program restaurování movitých kulturních památek</t>
  </si>
  <si>
    <t>0220</t>
  </si>
  <si>
    <t>2493/10</t>
  </si>
  <si>
    <t>Přesun v rámci oblasti Školství a tělovýchova - změna závazných ukazatelů u p.o.</t>
  </si>
  <si>
    <t>0221</t>
  </si>
  <si>
    <t>2494/10</t>
  </si>
  <si>
    <t>Navýšení výdajové části rozpočtu PK v oblasti Školství a tělovýchova, správce rozpočtu Školství z prostředků uložených v Rezervním fondu PK - Motivace pro technické vzdělávání mládeže PK</t>
  </si>
  <si>
    <t>0222</t>
  </si>
  <si>
    <t>2495/10</t>
  </si>
  <si>
    <t>Přesun v rámci oblasti Ostatní financování - Poskytnutí dotace Radě seniorů České republiky, o.s.</t>
  </si>
  <si>
    <t>0223</t>
  </si>
  <si>
    <t>2582/10</t>
  </si>
  <si>
    <t>Dotace MV ČR - UZ 14013 - Operační program Lidské zdroje a zaměstnanost - Zvýšení kvality řízení v úřadech územní veřejné správy - EU</t>
  </si>
  <si>
    <t>0224</t>
  </si>
  <si>
    <t>2583/10</t>
  </si>
  <si>
    <t>Přesun finančních prostředků z oblasti Ostatní financování - Grantové programy do oblasti Životní prostředí a přesun v rámci oblasti Životní prostředí - kofinancování k dotaci Ministerstva zemědělství na projekt "Černovice - kanalizace"</t>
  </si>
  <si>
    <t>0225</t>
  </si>
  <si>
    <t>2584/10</t>
  </si>
  <si>
    <t>0226</t>
  </si>
  <si>
    <t>2585/10</t>
  </si>
  <si>
    <t>Dotace RRRSJZ - projekt Rozvoj vzdělávacích kapacit Gymnázia Mikulášské náměstí 23, Plzeň - UZ 83001, 83005, 83501, 83505</t>
  </si>
  <si>
    <t>0227</t>
  </si>
  <si>
    <t>2586/10</t>
  </si>
  <si>
    <t>Přesun v rámci oblasti Sociální věci - Program sociálních služeb v PK 2010 - Pečovatelská služba poskytovaná obcemi</t>
  </si>
  <si>
    <t>0228</t>
  </si>
  <si>
    <t>2587/10</t>
  </si>
  <si>
    <t>Přesun v rámci oblasti Sociální věci, z oblasti Životní prostředí do oblasti Sociální věci a navýšení příjmů z odvodu Domova klidného stáří v Žinkovech - dotace městysu Žinkovy</t>
  </si>
  <si>
    <t>0229</t>
  </si>
  <si>
    <t>2588/10</t>
  </si>
  <si>
    <t>Přesun v rámci oblasti Kultura a cestovní ruch, správce rozpočtu Kultura - Záchrana a obnova kulturních památek PK</t>
  </si>
  <si>
    <t>0230</t>
  </si>
  <si>
    <t>2589/10</t>
  </si>
  <si>
    <t>0231</t>
  </si>
  <si>
    <t>2606/10</t>
  </si>
  <si>
    <t>Dotace z ROP NUTS II Jihozápad - projekt "Silnice III. třídy Oselce - Chanovice" - UZ 83501, 83505</t>
  </si>
  <si>
    <t>0232</t>
  </si>
  <si>
    <t>2610/10</t>
  </si>
  <si>
    <t>0233</t>
  </si>
  <si>
    <t>2620/10</t>
  </si>
  <si>
    <t>Přesun v rámci oblasti Kultura a cestovní ruch, správce rozpočtu Kultura - navýšení závazného ukazatele pro Západočeskou galerii v Plzni</t>
  </si>
  <si>
    <t>0234</t>
  </si>
  <si>
    <t>2621/10</t>
  </si>
  <si>
    <t>Přesun v rámci oblasti Kultura a cestovní ruch, správce rozpočtu Kultura - navýšení závazného ukazatele Západočeské galerii v Plzni - nákup uměleckého díla</t>
  </si>
  <si>
    <t>0235</t>
  </si>
  <si>
    <t>2622/10</t>
  </si>
  <si>
    <t>Dotace MZe - UZ 29517 - Meliorace a hrazení bystřin v lesích podle § 35 odst. 1 a 3 lesního zákona - investice</t>
  </si>
  <si>
    <t>0236</t>
  </si>
  <si>
    <t>2623/10</t>
  </si>
  <si>
    <t>0237</t>
  </si>
  <si>
    <t>2624/10</t>
  </si>
  <si>
    <t>Přesun v rámci oblasti Ostatní financování - dotace organizaci Spolek pro ochranu přírodní rezervace a hradu Krašov</t>
  </si>
  <si>
    <t>0238</t>
  </si>
  <si>
    <t>2625/10</t>
  </si>
  <si>
    <t>Daň z přidané hodnoty za 2. čtvrtletí roku 2010</t>
  </si>
  <si>
    <t>0239</t>
  </si>
  <si>
    <t>2626/10</t>
  </si>
  <si>
    <t xml:space="preserve">Dotace MŠMT - UZ 33244 - Podpora odborného vzdělávání  </t>
  </si>
  <si>
    <t>0240</t>
  </si>
  <si>
    <t>2627/10</t>
  </si>
  <si>
    <t>Přesun z oblasti Doprava do oblasti Ostatní financování - snížení závazného ukazatele u SÚS Klatovy - akce "Přeložka silnice II/190 Železná Ruda - Špičák"</t>
  </si>
  <si>
    <t>0241</t>
  </si>
  <si>
    <t>2628/10</t>
  </si>
  <si>
    <t>0242</t>
  </si>
  <si>
    <t>2629/10</t>
  </si>
  <si>
    <t>Dotace MV - UZ 14004 - Neinvestiční transfery krajům podle § 27 zákona č. 133/1985 Sb., o požární ochraně</t>
  </si>
  <si>
    <t>0243</t>
  </si>
  <si>
    <t>2630/10</t>
  </si>
  <si>
    <t>Přesun v rámci oblasti Životní prostředí - exkurze škol do výukového střediska Černošín, úhrada faktury za analýzy energetické hodnoty 5ti vzorků směsného komunálního odpadu</t>
  </si>
  <si>
    <t>0244</t>
  </si>
  <si>
    <t>2631/10</t>
  </si>
  <si>
    <t>Přesun z Ostatního financování do oblasti Kultura a cestovní ruch, správce rozpočtu Cestovní ruch - projekty PPS Cíl 3</t>
  </si>
  <si>
    <t>0245</t>
  </si>
  <si>
    <t>2632/10</t>
  </si>
  <si>
    <t>Přesun v rámci oblasti Kultura a cestovní ruch, správce rozpočtu Cestovní ruch - Program podpory rozvoje venkovského cestovního ruchu v PK</t>
  </si>
  <si>
    <t>0246</t>
  </si>
  <si>
    <t>2633/10</t>
  </si>
  <si>
    <t>0247</t>
  </si>
  <si>
    <t>2634/10</t>
  </si>
  <si>
    <t>Navýšení výdajové části rozpočtu PK v oblasti Školství  a tělovýchova, správce rozpočtu Tělovýchova z prostředků uložených v Rezervním fondu PK - Neinvestiční transfery subjektům v oblasti Školství a tělovýchova</t>
  </si>
  <si>
    <t>0248</t>
  </si>
  <si>
    <t>2635/10</t>
  </si>
  <si>
    <t>Přesun v rámci oblasti Doprava - změna závazných ukazatelů u SÚS Kralovice a SÚS Stříbro</t>
  </si>
  <si>
    <t>0249</t>
  </si>
  <si>
    <t>2636/10</t>
  </si>
  <si>
    <t>Navýšení závazného ukazatele u Masarykovo gymnázia - dotace z Fondu hejtmanky</t>
  </si>
  <si>
    <t>0250</t>
  </si>
  <si>
    <t>2637/10</t>
  </si>
  <si>
    <t>Navýšení výdajové části rozpočtu v oblasti Majetek z prostředků uložených v Rezervním fondu PK - nákup automobilů pro Centrální nákup, p.o.</t>
  </si>
  <si>
    <t>0251</t>
  </si>
  <si>
    <t>2638/10</t>
  </si>
  <si>
    <t>Navýšení finančních vztahů u p.o. - projekty z globálních grantů Operačního programu Vzdělávání pro konkurenceschopnost - GG 1.1, 1.2, 1.3</t>
  </si>
  <si>
    <t>0252</t>
  </si>
  <si>
    <t>2639/10</t>
  </si>
  <si>
    <t>Dotace MŠMT - UZ 33006 - Globální grant OP VK v oblasti počátečního vzdělávání - 2. souhrnná žádost o platbu - GG 1.1, 1.2, 1.3</t>
  </si>
  <si>
    <t>0253</t>
  </si>
  <si>
    <t>2640/10</t>
  </si>
  <si>
    <t>Přesun v rámci oblasti Školství a tělovýchova, správce rozpočtu Školství - změna závazných ukazatelů u p.o.</t>
  </si>
  <si>
    <t>0254</t>
  </si>
  <si>
    <t>2641/10</t>
  </si>
  <si>
    <t>Navýšení finančních vztahů u p.o. - projekt OP LZZ "Krok do života 1"</t>
  </si>
  <si>
    <t>0255</t>
  </si>
  <si>
    <t>2642/10</t>
  </si>
  <si>
    <t>Přesun v rámci oblasti Sociální věci - změny závazných ukazatelů u p.o. - navýšení fin. prostředků na platy v souvislosti se změnami platových předpisů</t>
  </si>
  <si>
    <t>0256</t>
  </si>
  <si>
    <t>2643/10</t>
  </si>
  <si>
    <t>Přesun z oblasti Majetek do oblasti Sociální věci, změny závazných ukazatelů u DSS Liblín, p.o. a DOZP Bystřice, p.o.</t>
  </si>
  <si>
    <t>0257</t>
  </si>
  <si>
    <t>2644/10</t>
  </si>
  <si>
    <t>Přesun z oblasti Zastupitelé do oblasti Kultura a cestovní ruch, správce rozpočtu Cestovní ruch - pronájem 1 ks výstavní expozice pro partnerské nestátní neziskové organizace na Veletrhu cestovního ruchu PK ITEP</t>
  </si>
  <si>
    <t>0258</t>
  </si>
  <si>
    <t>2713/10</t>
  </si>
  <si>
    <t>Navýšení výdajové části rozpočtu PK v oblasti Školství a tělovýchova, správce rozpočtu Školství z prostředků uložených v Rezervním fondu PK - navýšení ZU SPŠ Tachov - pomoc při odstraňování následků povodně za srpna 2010 ve městě Chrastava</t>
  </si>
  <si>
    <t>0259</t>
  </si>
  <si>
    <t>2724/10</t>
  </si>
  <si>
    <t>Přesun v rámci oblasti Vnitřní správa, správce rozpočtu OVVŽÚ - nákup nového služebního vozidla</t>
  </si>
  <si>
    <t>0260</t>
  </si>
  <si>
    <t>2737/10</t>
  </si>
  <si>
    <t>Dotace MŠMT - UZ 33024 - Rozvojový program MŠMT pro děti - cizince ze 3. zemí</t>
  </si>
  <si>
    <t>0261</t>
  </si>
  <si>
    <t>2738/10</t>
  </si>
  <si>
    <t>0262</t>
  </si>
  <si>
    <t>2739/10</t>
  </si>
  <si>
    <t>Přesun finančních prostředků z oblasti Majetek do oblasti Školství a tělovýchova, správce rozpočtu Školství - DD Staňkov - stavební investice</t>
  </si>
  <si>
    <t>0263</t>
  </si>
  <si>
    <t>2740/10</t>
  </si>
  <si>
    <t>Dotace z RRRSJZ - UZ 83501, 83505 - projekt "Přeložka komunikace II/196 v Poběžovicích"</t>
  </si>
  <si>
    <t>0264</t>
  </si>
  <si>
    <t>2741/10</t>
  </si>
  <si>
    <t>0265</t>
  </si>
  <si>
    <t>2742/10</t>
  </si>
  <si>
    <t>0266</t>
  </si>
  <si>
    <t>2743/10</t>
  </si>
  <si>
    <t>Navýšení výdajů oblasti Vnitřní správa - Fond zaměstnavatele - zapojení části zůstatku finančních prostředků předchozích let, který je uložen na účtu Fondu zaměstnavatele</t>
  </si>
  <si>
    <t>0267</t>
  </si>
  <si>
    <t>2744/10</t>
  </si>
  <si>
    <t>Přesun z oblasti Sociální věci do oblasti Kultura a cestovní ruch, správce rozpočtu Cestovní ruch - úhrada pronájmu a služeb za 2 výstavní expozice pro příspěvkové organizace PK z oblasti SV na Veletrhu cestovního ruchu PK ITEP 2010</t>
  </si>
  <si>
    <t>0268</t>
  </si>
  <si>
    <t>2745/10</t>
  </si>
  <si>
    <t>Přesun finančních prostředků v rámci oblasti Kultura a cestovní ruch, správce rozpočtu Cestovní ruch</t>
  </si>
  <si>
    <t>0269</t>
  </si>
  <si>
    <t>2746/10</t>
  </si>
  <si>
    <t>Přesun finančních prostředků v rámci rozpočtové oblasti Doprava, změna závazných ukazatelů jednotlivých SÚS</t>
  </si>
  <si>
    <t>0270</t>
  </si>
  <si>
    <t>2747/10</t>
  </si>
  <si>
    <t>Přesun finančních prostředků v rámci oblasti Doprava, změna závazných ukazatelů u jednotlivých SÚS</t>
  </si>
  <si>
    <t>0271</t>
  </si>
  <si>
    <t>2748/10</t>
  </si>
  <si>
    <t>Dotace MV - UZ 14012 - Vzdělávání v Egon centrech krajů a obcí s rozšířenou působností - projekt Školící středisko PK</t>
  </si>
  <si>
    <t>0272</t>
  </si>
  <si>
    <t>2749/10</t>
  </si>
  <si>
    <t>Přesun z oblasti Vnitřní správa, správce rozpočtu OVVŽÚ do oblasti Vnitřní správa, správce rozpočtu OIT a v rámci oblasti Vnitřní správa, správce rozpočtu OIT - nákup nových PC, kopírek, licencí software...</t>
  </si>
  <si>
    <t>0273</t>
  </si>
  <si>
    <t>2750/10</t>
  </si>
  <si>
    <t>Přesun v rámci oblasti Regionální rozvoj - Dotace obcím PK na řešení problematiky havarijních stavů objektů v majetku obcí - neinvestice/investice</t>
  </si>
  <si>
    <t>0274</t>
  </si>
  <si>
    <t>2751/10</t>
  </si>
  <si>
    <t>0275</t>
  </si>
  <si>
    <t>2752/10</t>
  </si>
  <si>
    <t>Přesun z oblasti Majetek do oblasti Zdravotnictví, změna závazného ukazatele - havárie</t>
  </si>
  <si>
    <t>0276</t>
  </si>
  <si>
    <t>2753/10</t>
  </si>
  <si>
    <t>Uložení odvodu Domovu Harmonie, centru sociálních služeb Mirošov z IF organizace, následně navýšení provozního příspěvku této organizaci - změna investičních finančních prostředků na neinvestiční v rámci akce "Pořízení vybavení"</t>
  </si>
  <si>
    <t>Dříve proj. RO</t>
  </si>
  <si>
    <t>0277</t>
  </si>
  <si>
    <t>2754/10</t>
  </si>
  <si>
    <t>Přesun finančních prostředků v rámci oblasti Školství  a tělovýchova, správce rozpočtu Školství, změna závazných ukazatelů</t>
  </si>
  <si>
    <t>0278</t>
  </si>
  <si>
    <t>2755/10</t>
  </si>
  <si>
    <t>Přesun v rámci oblasti Doprava - poskytnutí externích právních služeb</t>
  </si>
  <si>
    <t>Nová rozpočtová opatření</t>
  </si>
  <si>
    <t>0279</t>
  </si>
  <si>
    <t>2827/10</t>
  </si>
  <si>
    <t>Dotace z OP ŽP - Analýzy rizik pro vybrané lokality v Plzeňském kraji a přesun finančních prostředků v oblasti Životní prostředí - UZ 15373, 15374</t>
  </si>
  <si>
    <t>0280</t>
  </si>
  <si>
    <t>2828/10</t>
  </si>
  <si>
    <t>Přesun v rámci oblasti Kultura a cestovní ruch, správce rozpočtu Kultura - restaurování dorsálních křížů z kasulí</t>
  </si>
  <si>
    <t>0281</t>
  </si>
  <si>
    <t>2829/10</t>
  </si>
  <si>
    <t>Přesun v rámci oblasti Vnitřní správa, správce rozpočtu OVVŽÚ - nákup nového služebního vozu</t>
  </si>
  <si>
    <t>0282</t>
  </si>
  <si>
    <t>2830/10</t>
  </si>
  <si>
    <t>Navýšení výdajů v oblasti Školství a tělovýchova, správce rozpočtu Školství o finanční prostředky uložené v Rezervním fondu PK - navýšení ZU u příspěvkových organizací</t>
  </si>
  <si>
    <t>0283</t>
  </si>
  <si>
    <t>2831/10</t>
  </si>
  <si>
    <t>Přesun v rámci oblasti Kultura a cestovní ruch, správce rozpočtu Kultura - změna závazných ukazatelů u příspěvkových organizací</t>
  </si>
  <si>
    <t>0284</t>
  </si>
  <si>
    <t>2832/10</t>
  </si>
  <si>
    <t>Navýšení výdajů v oblasti Školství a tělovýchova, správce rozpočtu Tělovýchova o finanční prostředky uložené v Rezervním fondu PK - dotace subjektům v oblasti Tělovýchova a přesun v rámci oblasti Školství a tělovýchova, správce rozpočtu Tělovýchova - program Motivace pro technické vzdělávání mládeže PK</t>
  </si>
  <si>
    <t>0285</t>
  </si>
  <si>
    <t>2833/10</t>
  </si>
  <si>
    <t>Dotace MMR - UZ 17007 - Přeshraniční spolupráce - Cíl 3 - podíl SR pro Západočeské muzeum v Plzni</t>
  </si>
  <si>
    <t>0286</t>
  </si>
  <si>
    <t>2834/10</t>
  </si>
  <si>
    <t>Dotace MŠMT - UZ 33025 - Vybavení škol kompenzačního a rehabilitačního charakteru</t>
  </si>
  <si>
    <t>0287</t>
  </si>
  <si>
    <t>2835/10</t>
  </si>
  <si>
    <t>Přesun z oblasti Ostatní financování - Rozpočtová rezerva do oblasti Kultura a cestovní ruch, správce rozpočtu Cestovní ruch - prezentace PK v Evropském parlamentu v Bruselu</t>
  </si>
  <si>
    <t>0288</t>
  </si>
  <si>
    <t>2836/10</t>
  </si>
  <si>
    <t>Přesun z oblasti Ostatní financování - Individuální projekty do oblasti Kultura  cestovní ruch, správce rozpočtu Cestovní ruch - projekty v rámci Programu přeshraniční spolupráce Cíl 3</t>
  </si>
  <si>
    <t>0289</t>
  </si>
  <si>
    <t>2837/10</t>
  </si>
  <si>
    <t>Dotace MF - UZ 98187 - Účelové dotace na výdaje spojené s volbami do Senátu Parlamentu ČR a zastupitelstev v obcích</t>
  </si>
  <si>
    <t>0290</t>
  </si>
  <si>
    <t>2838/10</t>
  </si>
  <si>
    <t>Přesun z oblasti Ostatní financování - IP do oblasti Životní prostřed - projekt Péče o luční společenstva ve zvláště chráněných územích PK a o evropsky významné lokality PK</t>
  </si>
  <si>
    <t>0291</t>
  </si>
  <si>
    <t>2839/10</t>
  </si>
  <si>
    <t>Přesun v rámci oblasti Doprava - změna závazných ukazatelů</t>
  </si>
  <si>
    <t>0292</t>
  </si>
  <si>
    <t>2840/10</t>
  </si>
  <si>
    <t>Přesun z oblasti Majetek do oblasti Školství a tělovýchova, správce rozpočtu Školství - SOŠ obchodu, užitého umění a designu Plzeň - Výstavba odborných dílen a ateliérů</t>
  </si>
  <si>
    <t>0293</t>
  </si>
  <si>
    <t>2841/10</t>
  </si>
  <si>
    <t>0294</t>
  </si>
  <si>
    <t>2842/10</t>
  </si>
  <si>
    <t xml:space="preserve">Dotace MŠMT - UZ 33006 - Globální grant OP VK v oblasti počátečního vzdělávání - 3. souhrnná žádost o platbu na GG 1.1, 1.2, 1.3 </t>
  </si>
  <si>
    <t>0295</t>
  </si>
  <si>
    <t>2843/10</t>
  </si>
  <si>
    <t>Navýšení finančních vztahů p.o. v oblasti Školství a tělovýchova, správce rozpočtu Školství - projekty z globálních grantů Operačního programu Vzdělávání pro konkurenceschopnost</t>
  </si>
  <si>
    <t>0296</t>
  </si>
  <si>
    <t>2844/10</t>
  </si>
  <si>
    <t>Přesun v rámci oblasti Zdravotnictví - Domažlická nemocnice - akce Snížení energetické náročnosti celého systému energetiky z RF PK</t>
  </si>
  <si>
    <t>0297</t>
  </si>
  <si>
    <t>2905/10</t>
  </si>
  <si>
    <t>0298</t>
  </si>
  <si>
    <t>2906/10</t>
  </si>
  <si>
    <t>Dotace MŠMT - UZ 33026 - Pokusné ověřování maturitní zkoušky v roce 2010</t>
  </si>
  <si>
    <t>0299</t>
  </si>
  <si>
    <t>2907/10</t>
  </si>
  <si>
    <t>0300</t>
  </si>
  <si>
    <t>2908/10</t>
  </si>
  <si>
    <t>Přesun z oblasti Majetek do oblasti Zdravotnictví, ŠKolství a tělovýchova, přesun v rámci oblasti Majetek - navýšení ZU u p.o. - havárie</t>
  </si>
  <si>
    <t>0301</t>
  </si>
  <si>
    <t>2909/10</t>
  </si>
  <si>
    <t>Přesun v rámci oblasti Kultura a cestovní ruch, správce rozpočtu Cestovní ruch - propagační předměty, dotisk tématických skládaček</t>
  </si>
  <si>
    <t>0302</t>
  </si>
  <si>
    <t>2910/10</t>
  </si>
  <si>
    <t>Přesun v rámci oblasti Kultura a cestovní ruch, správce rozpočtu Kultura - navýšení závazných ukazatelů u p.o. v oblasti kultury</t>
  </si>
  <si>
    <t>0303</t>
  </si>
  <si>
    <t>2911/10</t>
  </si>
  <si>
    <t>Přesun v rámci oblasti Doprava - přesun ze Žákovského jízdného do ZDO autobusy</t>
  </si>
  <si>
    <t>0304</t>
  </si>
  <si>
    <t>2912/10</t>
  </si>
  <si>
    <t>Přesun v rámci oblasti Vnitřní správa, správce rozpočtu OVVŽÚ - dodržení rozpočtové skladby</t>
  </si>
  <si>
    <t>0305</t>
  </si>
  <si>
    <t>2913/10</t>
  </si>
  <si>
    <t>Přesun v rámci oblasti Životní prostředí - vodohospodářské stavby pro město Dobřany a obec Čeminy</t>
  </si>
  <si>
    <t>0306</t>
  </si>
  <si>
    <t>2914/10</t>
  </si>
  <si>
    <t>Dotace MŠMT - UZ 33123 - OP VK - oblast 1.4. EU peníze školám - EU - pro ZŠ Planá</t>
  </si>
  <si>
    <t>0307</t>
  </si>
  <si>
    <t>2915/10</t>
  </si>
  <si>
    <t>Dotace MF - UZ 98005 - Sčítání lidu, domů a bytů v roce 2011</t>
  </si>
  <si>
    <t>0308</t>
  </si>
  <si>
    <t>2916/10</t>
  </si>
  <si>
    <t>0309</t>
  </si>
  <si>
    <t>2917/10</t>
  </si>
  <si>
    <t>Školství a tělovýchova - projekt OP LZZ "Krok do života 1" - navýšení finančních vztahů u p.o.</t>
  </si>
  <si>
    <t>0310</t>
  </si>
  <si>
    <t>2918/10</t>
  </si>
  <si>
    <t>Dotace MPSV - UZ 13233 - Operační program Lidské zdroje a zaměstnanost - projekt "Podpora sociálních služeb v PK"</t>
  </si>
  <si>
    <t>0311</t>
  </si>
  <si>
    <t>2919/10</t>
  </si>
  <si>
    <t>Snížení výdajové části rozpočtu v oblasti Zdravotnictví o finanční prostředky pro ZZS PK, p.o. na nákup sanitních vozů - uloženo v RF PK</t>
  </si>
  <si>
    <t>0312</t>
  </si>
  <si>
    <t>2920/10</t>
  </si>
  <si>
    <t>Přesun v rámci oblasti Sociální věci - Podpora pro obce, které mají uzavřenu smlouvu s registrovaným poskytovatelem sociálních služeb na zajišťování pečovatelské služby na území PK</t>
  </si>
  <si>
    <t>0313</t>
  </si>
  <si>
    <t>2921/10</t>
  </si>
  <si>
    <t>Dotace MV - UZ 14013 - Zvýšení kvality řízení v úřadech územní veřejné správy - EU - projekt Personální strategie - efektivní řízení lidských zdrojů na KÚ PK</t>
  </si>
  <si>
    <t>0314</t>
  </si>
  <si>
    <t>2922/10</t>
  </si>
  <si>
    <t>Přeun z oblasti Ostatní financování - IP do oblasti Doprava a v rámci oblasti Doprava - změna závazných ukaztelů SÚS Klatovy</t>
  </si>
  <si>
    <t>0315</t>
  </si>
  <si>
    <t>2923/10</t>
  </si>
  <si>
    <t>Navýšení výdajové části rozpočtu v oblasti Školství a tělovýchova, správce rozpočtu Školství - provozní příspěvěk p.o. - jedná se o fin. prostředky uložené v RF PK</t>
  </si>
  <si>
    <t>0316</t>
  </si>
  <si>
    <t>2924/10</t>
  </si>
  <si>
    <t>Přesun z oblasti Ostatní financování - IP do oblasti Vnitřní správa, správce rozpočtu OIT - projekt</t>
  </si>
  <si>
    <t>0317</t>
  </si>
  <si>
    <t>2925/10</t>
  </si>
  <si>
    <t>Navýšení závazných ukazatelů v oblasti Školství a tělovýchova, správce rozpočtu Školství - navýšení závazných ukazatelů u p.o. - program Motivace pro technické vzdělávání mládeže PK v roce 2010</t>
  </si>
  <si>
    <t>0318</t>
  </si>
  <si>
    <t>2926/10</t>
  </si>
  <si>
    <t>Dotace MŠMT -  UZ 33353 - Přímé náklady na vzdělávání - snížení dotace, úprava závazných ukazatelů p.o.</t>
  </si>
  <si>
    <t>0319</t>
  </si>
  <si>
    <t>2927/10</t>
  </si>
  <si>
    <t>Navýšení výdajové části rozpočtu oblasti Regionální rozvoj - řešení problematiky havarijních stavů objektů v majetku obcí - prostředky z RF PK</t>
  </si>
  <si>
    <t>0320</t>
  </si>
  <si>
    <t>2928/10</t>
  </si>
  <si>
    <t>Přesun z oblasti Majetek do oblasti Sociální věci - navýšení ZU u DSS Liblín, DOZP Milíře - havarijní stavy</t>
  </si>
  <si>
    <t>0321</t>
  </si>
  <si>
    <t>2903/10</t>
  </si>
  <si>
    <t>Navýšení finančních prostředků na nákup nemovitostí pro Gymnázium L. Pika a Gymnázium Mikulášské náměstí, Plzeň; DPH</t>
  </si>
  <si>
    <t>0322</t>
  </si>
  <si>
    <t>2929/10</t>
  </si>
  <si>
    <t xml:space="preserve">Přesun z oblasti Ostatní financování - Grantové programy do oblasti Sociální věci, přesun v rámci oblasti Sociální věci, navýšení výdajové části rozpočtu oblasti Sociální věci z fin. prostředků RF PK - změna ZU u DKS Žinkovy </t>
  </si>
  <si>
    <t>0323</t>
  </si>
  <si>
    <t>2930/10</t>
  </si>
  <si>
    <t>Dotace MV - UZ 14005 a spoluúčast kraje - projekty prevence kriminality - výslechové místnosti pro dětské svědky a oběti trestné činnosti</t>
  </si>
  <si>
    <t>0324</t>
  </si>
  <si>
    <t>2931/10</t>
  </si>
  <si>
    <t>Přesun v rámci oblasti Sociální věci a z oblasti Majetek do oblasti Sociální věci - projektový manažer projektu Transformace DOZP Stod</t>
  </si>
  <si>
    <t>0325</t>
  </si>
  <si>
    <t>3010/10</t>
  </si>
  <si>
    <t>Přesun v rámci oblasti Kultura a cestovní ruch, správce rozpočtu Kultura - projekt FM EHP/Norska</t>
  </si>
  <si>
    <t>0326</t>
  </si>
  <si>
    <t>3011/10</t>
  </si>
  <si>
    <t>Přesun v rámci oblasti Kultura a cestovní ruch, správce rozpočtu Kultura - navýšení závazného ukazatele u Konzervatoře, Plzeň</t>
  </si>
  <si>
    <t>0327</t>
  </si>
  <si>
    <t>3012/10</t>
  </si>
  <si>
    <t>0328</t>
  </si>
  <si>
    <t>3013/10</t>
  </si>
  <si>
    <t>Dotace MŠMT - UZ 33192 - Spolupráce s francouzskými, vlámskými a španělskými školami</t>
  </si>
  <si>
    <t>0329</t>
  </si>
  <si>
    <t>3014/10</t>
  </si>
  <si>
    <t>Přesun v rámci oblasti Vnitřní správa, správce rozpočtu VVŽÚ - dodržení platné rozpočtové skladby</t>
  </si>
  <si>
    <t>0330</t>
  </si>
  <si>
    <t>3015/10</t>
  </si>
  <si>
    <t>Přesun z OF - Rozpočtová rezerva do Vnitřní správy, správce rozpočtu OKŘE - navýšení mzdových prostředků pro OIM</t>
  </si>
  <si>
    <t>0331</t>
  </si>
  <si>
    <t>3016/10</t>
  </si>
  <si>
    <t>Uložení odvodu Studijní a vědecké knihovně PK - navýšení příjmové části rozpočtu, fin.prostředky převedeny do RF PK a budou použity v roce 2011 a uložení odvodu Muzeu a galerii Severního Plzeňska, snížení ZU, přesun z oblasti Kultura do oblasti Majetek - pojistné plnění za zasažení objektu bleskem - fin. prostředky převedeny do RF PK</t>
  </si>
  <si>
    <t>0332</t>
  </si>
  <si>
    <t>3017/10</t>
  </si>
  <si>
    <t>0333</t>
  </si>
  <si>
    <t>3018/10</t>
  </si>
  <si>
    <t xml:space="preserve">Navýšení výdajové části rozpočtu v oblasti Školství a tělovýchova, správce rozpočtu Tělovýchova - dotace Viktorii Plzeň - fotbal, o.s. - jedná se o prostředky z RF PK </t>
  </si>
  <si>
    <t>0334</t>
  </si>
  <si>
    <t>3019/10</t>
  </si>
  <si>
    <t>Přesun v rámci oblasti Kultura a cestovní ruch, správce rozpočtu Kultura - snížení investičního a navýšení neinvestičního závazného ukazatele u Studijní a vědecké knihovny PK</t>
  </si>
  <si>
    <t>0335</t>
  </si>
  <si>
    <t>3020/10</t>
  </si>
  <si>
    <t>0336</t>
  </si>
  <si>
    <t>3021/10</t>
  </si>
  <si>
    <t xml:space="preserve">Přesun z oblasti OF - Rozpočtová rezerva do oblasti Regionální rozvoj - dotace pro obec Černovice a Euroregion Šumava, jihozápadní Čechy </t>
  </si>
  <si>
    <t>0337</t>
  </si>
  <si>
    <t>3022/10</t>
  </si>
  <si>
    <t>Přesun v rámci oblasti Regionální rozvoj - PSOV - investice/neinvestice a navýšení výdajové části rozpočtu PK v oblasti Regionální rozvoj z RF PK - PSOV PK</t>
  </si>
  <si>
    <t>0338</t>
  </si>
  <si>
    <t>3023/10</t>
  </si>
  <si>
    <t>Přesun v rámci oblasti Bezpečný kraj - dotace pro město Stříbro a informační materiály projetku Bezpečný kraj</t>
  </si>
  <si>
    <t>0339</t>
  </si>
  <si>
    <t>3024/10</t>
  </si>
  <si>
    <t>Přesun v rámci oblasti Vnitřní správa, správce rozpočtu OIT - dodržení platné rozpočtové skladby</t>
  </si>
  <si>
    <t>0340</t>
  </si>
  <si>
    <t>3025/10</t>
  </si>
  <si>
    <t>Přesun z oblasti Majetek do oblasti Školství a tělovýchova - navýšení ZU SPŠ dopravní Plzeň</t>
  </si>
  <si>
    <t>0341</t>
  </si>
  <si>
    <t>3026/10</t>
  </si>
  <si>
    <t>Uložení odvodu Západočeskému muzeu v Plzni - převod do RF PK, přesun z oblasti Kultura a cestovní ruch do oblasti Ostatní financování, snížení ZU</t>
  </si>
  <si>
    <t>0342</t>
  </si>
  <si>
    <t>3027/10</t>
  </si>
  <si>
    <t>Přesun v rámci oblasti Doprava - změna závazných ukazatelů u jednotlivých SÚS</t>
  </si>
  <si>
    <t>0343</t>
  </si>
  <si>
    <t>3028/10</t>
  </si>
  <si>
    <t>Přesun z oblasti Ostatní financování - individuální projekty do oblasti Doprava - zpracování podkladové dokumentace a předložení žádostí do ROP - 11. výzva</t>
  </si>
  <si>
    <t>0344</t>
  </si>
  <si>
    <t>3029/10</t>
  </si>
  <si>
    <t>Přesun z oblasti Majetek do oblasti Zdravotnictví - havárie - Klatovská nemocnice</t>
  </si>
  <si>
    <t>0345</t>
  </si>
  <si>
    <t>3030/10</t>
  </si>
  <si>
    <t>0346</t>
  </si>
  <si>
    <t>3031/10</t>
  </si>
  <si>
    <t>Přesun z oblasti Ostatní financování do oblasti Sociální věci - Jednání Sociální komise Asociace krajů ČR</t>
  </si>
  <si>
    <t>0347</t>
  </si>
  <si>
    <t>3032/10</t>
  </si>
  <si>
    <t>Uložení odvodu Krajské SÚS, přesun v rámci oblasti Doprava z položky Provozní příspěvek na položku Neinvestiční akce na silnicích</t>
  </si>
  <si>
    <t>0348</t>
  </si>
  <si>
    <t>3033/10</t>
  </si>
  <si>
    <t>Přesun v rámci oblasti Zdravotnictví - dotace Horské službě ČR, o.p.s., výdaje za notářské služby spojené se schvalováním ovládacích smluv pro zdrav. zařízení založená PK</t>
  </si>
  <si>
    <t>0349</t>
  </si>
  <si>
    <t>3034/10</t>
  </si>
  <si>
    <t>Dotace MMR - UZ 17007 - Přeshraniční spolupráce - Cíl 3 - projekt ZŠ speciální, Plzeň</t>
  </si>
  <si>
    <t>0350</t>
  </si>
  <si>
    <t>3035/10</t>
  </si>
  <si>
    <t>Přesun v rámci oblasti Doprava - provoz přeshraniční autobusové linky</t>
  </si>
  <si>
    <t>0351</t>
  </si>
  <si>
    <t>3036/10</t>
  </si>
  <si>
    <t>Uložení odvodu KCV a JŠ, Plzeň - navýšení příjmů a výdajů v oblasti Školství a tělovýchova - navýšení závazného ukazatele KCV a JŠ, Plzeň</t>
  </si>
  <si>
    <t>0352</t>
  </si>
  <si>
    <t>3037/10</t>
  </si>
  <si>
    <t>Přesun z oblasti Ostatní financování - individuální projekty do oblasti Vnitřní správa, správce rozpočtu OIT - projekt Technologické centrum</t>
  </si>
  <si>
    <t>0353</t>
  </si>
  <si>
    <t>3038/10</t>
  </si>
  <si>
    <t xml:space="preserve">Přesun z oblasti Majetek do oblasti Školství a tělovýchova - SOU elektrotechnické, Plzeň - oprava prostor </t>
  </si>
  <si>
    <t>0354</t>
  </si>
  <si>
    <t>3039/10</t>
  </si>
  <si>
    <t>0355</t>
  </si>
  <si>
    <t>3040/10</t>
  </si>
  <si>
    <t>Uložení odvodu a snížení investičního závazného ukazatele DSS Liblín, převod finančních prostředků do RF PK pro použití v následujícím roce</t>
  </si>
  <si>
    <t>0356</t>
  </si>
  <si>
    <t>3112/10</t>
  </si>
  <si>
    <t>Přesun z oblasti Doprava do oblasti Vnitřní správa - aplikace SPADO pro POVED na rok 2010</t>
  </si>
  <si>
    <t>0357</t>
  </si>
  <si>
    <t>3113/10</t>
  </si>
  <si>
    <t>0358</t>
  </si>
  <si>
    <t>3114/10</t>
  </si>
  <si>
    <t>0359</t>
  </si>
  <si>
    <t>3126/10</t>
  </si>
  <si>
    <t>0360</t>
  </si>
  <si>
    <t>3115/10</t>
  </si>
  <si>
    <t>Dotace z FM EHP/Norska na projekt CZ 0054 - Improvement of Care for the Movable Cultural Heritage in the Plzeň Region - UZ 95206, 95816</t>
  </si>
  <si>
    <t>0361</t>
  </si>
  <si>
    <t>3116/10</t>
  </si>
  <si>
    <t>Přesun v rámci oblasti Životní prostředí - dohoda o provedení práce a zaměření pozorovatelny v přírodní rezervaci Nový Rybník</t>
  </si>
  <si>
    <t>0362</t>
  </si>
  <si>
    <t>3117/10</t>
  </si>
  <si>
    <t>0363</t>
  </si>
  <si>
    <t>3120/10</t>
  </si>
  <si>
    <t>Přesun finančních prostředků v rámci oblasti Školství a tělovýchova, správce rozpočtu Školství - oprava a obložení spadlého stropu ve třídě školy - ZŠ internátní Blovice</t>
  </si>
  <si>
    <t>0364</t>
  </si>
  <si>
    <t>3118/10</t>
  </si>
  <si>
    <t>Dotace MMR - UZ 17007 - Přeshraniční spolupráce - Cíl 3 - projekt SPŠ dopravní Plzeň</t>
  </si>
  <si>
    <t>0365</t>
  </si>
  <si>
    <t>3119/10</t>
  </si>
  <si>
    <t>Dotace MMR - UZ 17007, UZ 17883 - Přeshraniční spolupráce - Cíl 3 - projekt Gymnázia Plasy</t>
  </si>
  <si>
    <t>0366</t>
  </si>
  <si>
    <t>3122/10</t>
  </si>
  <si>
    <t>Přesun v rámci oblasti Ostatní financování - rozpočtová rezerva na Neinvestiční transfery subjektům mimo programy - finanční dar sdružení YMCA</t>
  </si>
  <si>
    <t>0367</t>
  </si>
  <si>
    <t>3121/10</t>
  </si>
  <si>
    <t>Dotace MŠMT - UZ 33244 - Podpora odborného vzdělávání</t>
  </si>
  <si>
    <t>0368</t>
  </si>
  <si>
    <t>3123/10</t>
  </si>
  <si>
    <t>Přesun z oblasti OF - Individuální projekty do oblasti Vnitřní správa - projekt Personální strategie - efektivní řízení lidských zdrojů na KÚPK a projekt Zvýšení kvality řízení na KÚPK</t>
  </si>
  <si>
    <t>0369</t>
  </si>
  <si>
    <t>3124/10</t>
  </si>
  <si>
    <t>Navýšení příjmové části rozpočtu PK o vratku dotace z roku 2007, převedeno do RF PK</t>
  </si>
  <si>
    <t>0370</t>
  </si>
  <si>
    <t>3125/10</t>
  </si>
  <si>
    <t>Přesun finančních prostředků v rámci oblasti Majetek - zabezpečení krovu a střešního pláště proti povětrnostním podmínkám na objektu mlýna v Horažďovicích</t>
  </si>
  <si>
    <t>0371</t>
  </si>
  <si>
    <t>3127/10</t>
  </si>
  <si>
    <t>Přesun z oblasti OF - Individuální projekty do oblasti Sociální věci - projekt ROP "Sociálně terapeutické centrum"</t>
  </si>
  <si>
    <t>0372</t>
  </si>
  <si>
    <t>3128/10</t>
  </si>
  <si>
    <t>0373</t>
  </si>
  <si>
    <t>3186/11</t>
  </si>
  <si>
    <t>Dotace z ROP NUTS II Jihozápad - Komplexní propagace PK - UZ 83001, UZ 83005</t>
  </si>
  <si>
    <t>0374</t>
  </si>
  <si>
    <t>3187/11</t>
  </si>
  <si>
    <t>Přesun finančních prostředků v rámci oblasti FPEU a přesun z oblasti Ostatní financování do oblasti FPEU - Financování Evropské kanceláře PK v Bruselu</t>
  </si>
  <si>
    <t>0375</t>
  </si>
  <si>
    <t>3188/11</t>
  </si>
  <si>
    <t>Dotace MF - UZ 98861 - Výkupy pozemků pod krajskými komunikacemi</t>
  </si>
  <si>
    <t>0376</t>
  </si>
  <si>
    <t>3189/11</t>
  </si>
  <si>
    <t>Přesun finančních prostředků v rámci oblasti Školství a tělovýchova, správce rozpočtu Školství - změna závazného ukazatele u ZŠ speciální, Plzeň</t>
  </si>
  <si>
    <t>0377</t>
  </si>
  <si>
    <t>3190/11</t>
  </si>
  <si>
    <t>ISPROFIN k 31.12.2010</t>
  </si>
  <si>
    <t>0378</t>
  </si>
  <si>
    <t>3191/11</t>
  </si>
  <si>
    <t>Přesun v rámci oblasti Sociální věci - změny závazných ukazatelů u p.o., přesun v rámci oblasti Zdravotnictví - havarijní stavy</t>
  </si>
  <si>
    <t>0379</t>
  </si>
  <si>
    <t>3192/11</t>
  </si>
  <si>
    <t>Přesun v rámci oblasti Zdravotnictví - poštovné v souvislosti s výplatou regulačních poplatků</t>
  </si>
  <si>
    <t>0380</t>
  </si>
  <si>
    <t>3193/11</t>
  </si>
  <si>
    <t>Dotace MZ - UZ 35015 - Specializační vzdělávání zdravotnických pracovníků - rezidenční místa - neinvestice</t>
  </si>
  <si>
    <t>0381</t>
  </si>
  <si>
    <t>3194/11</t>
  </si>
  <si>
    <t>Přesun finančních prostředků z oblasti Ostatní financování - Individuální projekty do oblasti Školství a tělovýchova, správce rozpočtu Školství - udržitelnost projektu Šance pro budoucnost</t>
  </si>
  <si>
    <t>0382</t>
  </si>
  <si>
    <t>3195/11</t>
  </si>
  <si>
    <t>Přesun finančních prostředků v rámci oblasti Školství a tělovýchova, správce rozpočtu Školství - úprava finančních vztahů u projektů z globálních grantů OP VK</t>
  </si>
  <si>
    <t>CELKEM</t>
  </si>
  <si>
    <t>Příjmy Plzeňského kraje po konsolidaci (v tis. Kč)</t>
  </si>
  <si>
    <t>Finanční položka</t>
  </si>
  <si>
    <t>Schválený rozpočet</t>
  </si>
  <si>
    <t>Upravený rozpočet</t>
  </si>
  <si>
    <t>Čerpání</t>
  </si>
  <si>
    <t>% UR</t>
  </si>
  <si>
    <t>1111</t>
  </si>
  <si>
    <t>Daň z příjmů fyzických osob ze závislé činnosti a funkčních požitků</t>
  </si>
  <si>
    <t>1112</t>
  </si>
  <si>
    <t>Daň z příjmů fyzických osob ze samostatné výdělečné činnosti</t>
  </si>
  <si>
    <t>1113</t>
  </si>
  <si>
    <t>Daň z příjmů fyzických osob z kapitálových výnosů</t>
  </si>
  <si>
    <t>1121</t>
  </si>
  <si>
    <t>Daň z příjmů právnických osob</t>
  </si>
  <si>
    <t>1123</t>
  </si>
  <si>
    <t>Daň z příjmů právnických osob za kraje</t>
  </si>
  <si>
    <t>1211</t>
  </si>
  <si>
    <t>Daň z přidané hodnoty</t>
  </si>
  <si>
    <t>1361</t>
  </si>
  <si>
    <t>Správní poplatky</t>
  </si>
  <si>
    <t>Třída 1 - DAŇOVÉ PŘÍJMY</t>
  </si>
  <si>
    <t>2111</t>
  </si>
  <si>
    <t>Příjmy z poskytování služeb a výrobků</t>
  </si>
  <si>
    <t>***</t>
  </si>
  <si>
    <t>2119</t>
  </si>
  <si>
    <t>Ostatní příjmy z vlastní činnosti</t>
  </si>
  <si>
    <t>2122</t>
  </si>
  <si>
    <t>Odvody příspěvkových organizací</t>
  </si>
  <si>
    <t>2132</t>
  </si>
  <si>
    <t>Příjmy z pronájmu ostatních nemovitostí a jejich částí</t>
  </si>
  <si>
    <t>2133</t>
  </si>
  <si>
    <t>Příjmy z pronájmu movitých věcí</t>
  </si>
  <si>
    <t>2141</t>
  </si>
  <si>
    <t>Příjmy z úroků (část)</t>
  </si>
  <si>
    <t>2143</t>
  </si>
  <si>
    <t>Realizované kurzové zisky</t>
  </si>
  <si>
    <t>2211</t>
  </si>
  <si>
    <t>Sankční platby přijaté od státu, obcí a krajů</t>
  </si>
  <si>
    <t>2212</t>
  </si>
  <si>
    <t>Sankční platby přijaté od jiných subjektů</t>
  </si>
  <si>
    <t>2222</t>
  </si>
  <si>
    <t>Ostatní příjmy z finančního vypořádání předchozích let od jiných veřejných rozpočtů</t>
  </si>
  <si>
    <t>2223</t>
  </si>
  <si>
    <t>Příjmy z finančního vypořádání minulých let mezi krajem a obcemi</t>
  </si>
  <si>
    <t>2227</t>
  </si>
  <si>
    <t>Příjmy z finančního vypořádání minulých let mezi regionální radou a kraji, obcemi a dobrovolnými svazky obcí</t>
  </si>
  <si>
    <t>2229</t>
  </si>
  <si>
    <t>Ostatní přijaté vratky transferů</t>
  </si>
  <si>
    <t>2322</t>
  </si>
  <si>
    <t>Přijaté pojistné náhrady</t>
  </si>
  <si>
    <t>2324</t>
  </si>
  <si>
    <t>Příjaté nekapitálové příspěvky a náhrady</t>
  </si>
  <si>
    <t>2328</t>
  </si>
  <si>
    <t>Neidentifikované příjmy</t>
  </si>
  <si>
    <t>2329</t>
  </si>
  <si>
    <t>Ostatní nedaňové příjmy j.n.</t>
  </si>
  <si>
    <t>2342</t>
  </si>
  <si>
    <t>Platby za odebrané množství podzemní vody</t>
  </si>
  <si>
    <t>2412</t>
  </si>
  <si>
    <t>Splátky půjčených prostředků od podnikatelských nefinančních subjektů - právnických osob</t>
  </si>
  <si>
    <t>Třída 2 - NEDAŇOVÉ PŘÍJMY</t>
  </si>
  <si>
    <t>3111</t>
  </si>
  <si>
    <t>Příjmy z prodeje pozemků</t>
  </si>
  <si>
    <t>3112</t>
  </si>
  <si>
    <t>Příjmy z prodeje ostatních nemovitostí a jejich částí</t>
  </si>
  <si>
    <t>3113</t>
  </si>
  <si>
    <t>Příjmy z prodeje ostatního hmotného dlouhodobého</t>
  </si>
  <si>
    <t>Třída 3 - KAPITÁLOVÉ PŘÍJMY</t>
  </si>
  <si>
    <t>4111</t>
  </si>
  <si>
    <t>Neinvestiční přijaté transfery z všeobecné pokladní správy státního rozpočtu</t>
  </si>
  <si>
    <t>4112</t>
  </si>
  <si>
    <t>Neinvestiční přijaté transfery ze státního rozpočtu v rámci souhrnného dotačního vztahu</t>
  </si>
  <si>
    <t>4113</t>
  </si>
  <si>
    <t>Neinvestiční přijaté transfery ze státních fondů</t>
  </si>
  <si>
    <t>4116</t>
  </si>
  <si>
    <t>Ostatní neinvestiční přijaté transfery ze státního rozpočtu</t>
  </si>
  <si>
    <t>4118</t>
  </si>
  <si>
    <t>Neinvestiční převody z Národního fondu</t>
  </si>
  <si>
    <t>4121</t>
  </si>
  <si>
    <t>Neinvestiční přijaté transfery od obcí</t>
  </si>
  <si>
    <t>4123</t>
  </si>
  <si>
    <t>Neinvestiční přijaté transfery od regionálních rad</t>
  </si>
  <si>
    <t>4211</t>
  </si>
  <si>
    <t>Investiční přijaté transfery z všeobecné pokladní správy státního rozpočtu</t>
  </si>
  <si>
    <t>4216</t>
  </si>
  <si>
    <t>Ostatní investiční přijaté transfery ze státního rozpočtu</t>
  </si>
  <si>
    <t>4218</t>
  </si>
  <si>
    <t>Investiční převody z Národního fondu</t>
  </si>
  <si>
    <t>4223</t>
  </si>
  <si>
    <t>Investiční přijaté transfery od regionálních rad</t>
  </si>
  <si>
    <t>Třída 4 - PŘIJATÉ DOTACE</t>
  </si>
  <si>
    <r>
      <t xml:space="preserve">Převody výnosů daní do rozpočtu Plzeňského kraje za 1. pololetí roku 2010 </t>
    </r>
    <r>
      <rPr>
        <u/>
        <sz val="14"/>
        <rFont val="Arial"/>
        <family val="2"/>
        <charset val="238"/>
      </rPr>
      <t>(v tis. Kč)</t>
    </r>
  </si>
  <si>
    <t>Popis</t>
  </si>
  <si>
    <t>Leden</t>
  </si>
  <si>
    <t xml:space="preserve">Leden </t>
  </si>
  <si>
    <t>Únor</t>
  </si>
  <si>
    <t xml:space="preserve">Únor </t>
  </si>
  <si>
    <t>Březen</t>
  </si>
  <si>
    <t>Duben</t>
  </si>
  <si>
    <t>Květen</t>
  </si>
  <si>
    <t>Červen</t>
  </si>
  <si>
    <t xml:space="preserve">Skutečnost za 1. pololetí </t>
  </si>
  <si>
    <t>Procento z UR za 1. pololetí</t>
  </si>
  <si>
    <t>1111 Daň z příjmů fyzických osob ze závislé činnosti a funkčních požitků</t>
  </si>
  <si>
    <t>1112 Daň z příjmů fyzických osob ze samostatné výdělečné činnosti</t>
  </si>
  <si>
    <t>1113 Daň z příjmů fyzických osob z kapitálových výnosů</t>
  </si>
  <si>
    <t>1121 Daň z příjmů právnických osob</t>
  </si>
  <si>
    <t>1123 Daň z příjmů právnických osob za kraje</t>
  </si>
  <si>
    <t xml:space="preserve"> --</t>
  </si>
  <si>
    <t>1211 Daň z přidané hodnoty</t>
  </si>
  <si>
    <t>Celkem</t>
  </si>
  <si>
    <r>
      <t xml:space="preserve">Převody výnosů daní do rozpočtu Plzeňského kraje za 2. pololetí roku 2010 a rekapitulace za celý rok 2010 </t>
    </r>
    <r>
      <rPr>
        <u/>
        <sz val="14"/>
        <rFont val="Arial"/>
        <family val="2"/>
        <charset val="238"/>
      </rPr>
      <t>(v tis. Kč)</t>
    </r>
  </si>
  <si>
    <t>Červenec</t>
  </si>
  <si>
    <t xml:space="preserve">Červenec </t>
  </si>
  <si>
    <t>Srpen</t>
  </si>
  <si>
    <t xml:space="preserve">Srpen </t>
  </si>
  <si>
    <t>Září</t>
  </si>
  <si>
    <t>Říjen</t>
  </si>
  <si>
    <t xml:space="preserve">Říjen </t>
  </si>
  <si>
    <t>Listopad</t>
  </si>
  <si>
    <t>Prosinec</t>
  </si>
  <si>
    <t xml:space="preserve">Prosinec </t>
  </si>
  <si>
    <t xml:space="preserve">Skutečnost celkem </t>
  </si>
  <si>
    <t>Procento z UR</t>
  </si>
  <si>
    <t>%-tní podíl na celkových daň.výnosech</t>
  </si>
  <si>
    <t>1123 Daň z příjmů právnických osob za kraje *</t>
  </si>
  <si>
    <t>* zahrnuta daň z příjmu právnických osob za kraje, která byla pouze proúčtována</t>
  </si>
  <si>
    <t>Přehled dotací poskytnutých z jednotlivých kapitol SR prostřednictvím čerpacích účtů UniCredit Bank Czech Republic, a.s. k 31.12.2010 (v tis. Kč)</t>
  </si>
  <si>
    <t>Název</t>
  </si>
  <si>
    <t>Investor</t>
  </si>
  <si>
    <t>IČ</t>
  </si>
  <si>
    <t xml:space="preserve">Čerpání                        </t>
  </si>
  <si>
    <t>Poskytovatel</t>
  </si>
  <si>
    <t>DKS Žinkovy - stavební úpravy objektu A a výstavba nového pavilonu A (ÚZ 13 501)</t>
  </si>
  <si>
    <t>Domov klidného stáří v Žinkovech</t>
  </si>
  <si>
    <t>MPSV</t>
  </si>
  <si>
    <t>Žinkovy 89</t>
  </si>
  <si>
    <t>335 54 Žinkovy</t>
  </si>
  <si>
    <t>II/145 Chlum Světlá, oprava krajnice (ÚZ 17 466)</t>
  </si>
  <si>
    <t>Plzeňský kraj</t>
  </si>
  <si>
    <t>MMR</t>
  </si>
  <si>
    <t>Škroupova 18</t>
  </si>
  <si>
    <t>306 13 Plzeň</t>
  </si>
  <si>
    <t>Most ev. č. 19125-1 přes Luční potok před obcí Klenová (ÚZ 17 789)</t>
  </si>
  <si>
    <t>Výslechová místnost pro dětské svědky a oběti trestné činnosti - Plzeň (ÚZ 14 876)</t>
  </si>
  <si>
    <t>MV</t>
  </si>
  <si>
    <t>Výslechová místnost pro dětské svědky a oběti trestné činnosti - Klatovy (ÚZ 14 876)</t>
  </si>
  <si>
    <t>ISO/A Zabezpečení objektů (ÚZ 34 711)</t>
  </si>
  <si>
    <t>Muzeum a galerie severního Plzeňska</t>
  </si>
  <si>
    <t>00368563</t>
  </si>
  <si>
    <t>MK</t>
  </si>
  <si>
    <t>Mariánský Týnec 1</t>
  </si>
  <si>
    <t>331 41 Kralovice</t>
  </si>
  <si>
    <t>Západočeské muzeum v Plzni</t>
  </si>
  <si>
    <t>00228745</t>
  </si>
  <si>
    <t>Kopeckého sady 2</t>
  </si>
  <si>
    <t>301 00  Plzeň</t>
  </si>
  <si>
    <t>ISO/D Preventivní ochrana před nepříznivými vlivy prostředí (ÚZ 34 342)</t>
  </si>
  <si>
    <t>ISO/D Preventivní ochrana před nepříznivými vlivy prostředí (ÚZ 34 711)</t>
  </si>
  <si>
    <t>Použité zkratky:</t>
  </si>
  <si>
    <t xml:space="preserve">   MK - Ministerstvo kultury</t>
  </si>
  <si>
    <t xml:space="preserve">   MPSV - Ministerstvo práce a sociálních věcí</t>
  </si>
  <si>
    <t xml:space="preserve">   MMR - Ministerstvo pro místní rozvoj</t>
  </si>
  <si>
    <t xml:space="preserve">   MV - Ministerstvo vnitra</t>
  </si>
  <si>
    <t>Výdaje Plzeňského kraje po konsolidaci (v tis. Kč)</t>
  </si>
  <si>
    <t>Text</t>
  </si>
  <si>
    <t>Schválený rozpočet (v Kč)</t>
  </si>
  <si>
    <t>Upravený rozpočet (v Kč)</t>
  </si>
  <si>
    <t>Čerpání (v Kč)</t>
  </si>
  <si>
    <t>% k UR</t>
  </si>
  <si>
    <t>Bezpečný kraj</t>
  </si>
  <si>
    <t>Běžné výdaje oblastí</t>
  </si>
  <si>
    <t>Nákup materiálu</t>
  </si>
  <si>
    <t>Nákup služeb</t>
  </si>
  <si>
    <t>Ostatní nákupy</t>
  </si>
  <si>
    <t>Platby daní a poplatků, nákup kolků</t>
  </si>
  <si>
    <t>Běžné výdaje oblastí celkem</t>
  </si>
  <si>
    <t>Transfery org., obcím, veř. rozp., obyvat.</t>
  </si>
  <si>
    <t>Investiční transfery subjektům v oblasti bezpečný kraj</t>
  </si>
  <si>
    <t>Neinvestiční transfery subjektům v oblasti bezpečný kraj</t>
  </si>
  <si>
    <t>Transfery org., obcím, veř. rozp., obyvat. celkem</t>
  </si>
  <si>
    <t>Bezpečný kraj celkem</t>
  </si>
  <si>
    <t>Doprava</t>
  </si>
  <si>
    <t>BESIP</t>
  </si>
  <si>
    <t>Odvod a penále za porušení rozpočtové kázně</t>
  </si>
  <si>
    <t>Plzeňský organizátor VD - mandátní smlouva</t>
  </si>
  <si>
    <t>Povodně - Obnova obecního a krajského majetku postiženého živelní nebo jinou pohromou</t>
  </si>
  <si>
    <t>Předfinancování a kofinancování projektů PK</t>
  </si>
  <si>
    <t>Studie, veř. zakázky, dopr. obslužnosti</t>
  </si>
  <si>
    <t>ZDO autobusy</t>
  </si>
  <si>
    <t>ZDO autobusy - Čekání řidičů mezi spoji veřejné linkové autobusové dopravy - UZ 27001</t>
  </si>
  <si>
    <t>ZDO dráhy</t>
  </si>
  <si>
    <t>ZDO dráhy - Příspěvek na ztrátu dopravce z provozu veřejné osobní drážní dopravy - UZ 27335</t>
  </si>
  <si>
    <t>Žákovské jízdné</t>
  </si>
  <si>
    <t>Nákup akcií a maj. podílů</t>
  </si>
  <si>
    <t>Nákup majetkových podílů</t>
  </si>
  <si>
    <t>Nákup akcií a majetkových podílů celkem</t>
  </si>
  <si>
    <t>Příspěvky PO kraje</t>
  </si>
  <si>
    <t>Budovy, haly - cestmistrovství</t>
  </si>
  <si>
    <t>Investiční akce na silnicích</t>
  </si>
  <si>
    <t>Krajská SÚS</t>
  </si>
  <si>
    <t>Neinvestiční akce na silnicích</t>
  </si>
  <si>
    <t>Provozní příspěvek</t>
  </si>
  <si>
    <t>Předfinancování a kofinancování projektů SÚS</t>
  </si>
  <si>
    <t>Strojní investice</t>
  </si>
  <si>
    <t>Příspěvky PO kraje celkem</t>
  </si>
  <si>
    <t>Stavební investice</t>
  </si>
  <si>
    <t>Příprava staveb na silnicích</t>
  </si>
  <si>
    <t>Stavební investice celkem</t>
  </si>
  <si>
    <t>Dotace - BESIP</t>
  </si>
  <si>
    <t>Neinvestiční transfery subjektům v oblasti Doprava</t>
  </si>
  <si>
    <t>Doprava celkem</t>
  </si>
  <si>
    <t>Fondy a programy EU</t>
  </si>
  <si>
    <t>Financování Evropské kanceláře Plzeňského kraje v Bruselu</t>
  </si>
  <si>
    <t>Technická pomoc Cíl 3 ČR-Bavorsko</t>
  </si>
  <si>
    <t>Fondy a programy EU celkem</t>
  </si>
  <si>
    <t>Krizové řízení a IZS</t>
  </si>
  <si>
    <t>Informační podpora krizového řízení</t>
  </si>
  <si>
    <t>Krizová rezerva</t>
  </si>
  <si>
    <t>Udržování odborných podkladů a literatury v oblasti KŘ, podpora zpracování předepsané dokumentace</t>
  </si>
  <si>
    <t>Činnost Bezpečnostní rady PK a krizového štábu</t>
  </si>
  <si>
    <t>Úhrada nákladů na činnost v IZS, cvičení IZS, KŠ</t>
  </si>
  <si>
    <t>Úhrada výdajů jednotkám SDH obcí - UZ 14004</t>
  </si>
  <si>
    <t>Nestavební investice</t>
  </si>
  <si>
    <t>Nestavební investice celkem</t>
  </si>
  <si>
    <t>Dotace obcím - nákup automobilových cisteren stříkacích</t>
  </si>
  <si>
    <t>Finanční dary krajům jako příspěvek na řešení škod způsobených povodněmi</t>
  </si>
  <si>
    <t>HZS Plzeňského kraje</t>
  </si>
  <si>
    <t>Krajské ředitelství policie Plzeňského kraje</t>
  </si>
  <si>
    <t>Krizové řízení a IZS celkem</t>
  </si>
  <si>
    <t>Kultura a cestovní ruch</t>
  </si>
  <si>
    <t xml:space="preserve">Běžné výdaje oblastí </t>
  </si>
  <si>
    <t>Cestovné</t>
  </si>
  <si>
    <t>Prezentační akce kraje v zahraničí</t>
  </si>
  <si>
    <t>Prezentační materiály obcí, měst a ext. subjektů</t>
  </si>
  <si>
    <t>Předfinancování a kofinancování projektů</t>
  </si>
  <si>
    <t>Tisky a dotisky propagačních materiálů kraje map a tématických materiálů, jednotný vizuální styl Plzeňského kraje, propagační předměty, repre. kniha PK, grafický manuál PK.</t>
  </si>
  <si>
    <t>Tématické akce Regiontour, Holiday World, výstavy a veletrhy v ČR a v zahraničí, propagace a komunikace web stránek turisturaj.cz, Burgenstrasse, značení turistických a historických cílů Plzeňského kraje,  medializace a inzerce</t>
  </si>
  <si>
    <t>Veletrh cestovního ruchu Plzeňského kraje ITEP</t>
  </si>
  <si>
    <t>Administrativní zajištění projektu EHP/Norsko</t>
  </si>
  <si>
    <t>Náklady spojené s Veřejnou architekt. soutěží o návrh na řešení nové budovy Západočeské galerie v Plzni a s tím související úkony</t>
  </si>
  <si>
    <t>Odborné posudky, průzkumy, vydávání publikací, audiovizuálních děl, metodická, vzdělávací, přednášková a výstavní činnost</t>
  </si>
  <si>
    <t>Řešení převzetí expozice církevního umění od Biskupství plzeňského</t>
  </si>
  <si>
    <t>Ostatní kapitálové výdaje</t>
  </si>
  <si>
    <t>Ostatní kapitálové výdaje celkem</t>
  </si>
  <si>
    <t>Grantový program v oblasti kultury včetně podpory tradiční lidové kultury, dotace externím subjektům</t>
  </si>
  <si>
    <t>ISPROFIN</t>
  </si>
  <si>
    <t>Kulturní aktivity - UZ 34070</t>
  </si>
  <si>
    <t>Nákup uměleckého díla významné hodnoty</t>
  </si>
  <si>
    <t>Pověřené odborné regionální pracoviště tradiční lidové kultury pro Plzeňský kraj</t>
  </si>
  <si>
    <t>Program restaurování movitých kulturních památek - UZ 34090</t>
  </si>
  <si>
    <t>Přehlídka řemeslných dovedností Plzeňského kraje</t>
  </si>
  <si>
    <t>Restaurování oltářního obrazu Václava Vavřince Reinera</t>
  </si>
  <si>
    <t>Veřejné informační služby knihoven - UZ 34053</t>
  </si>
  <si>
    <t>Veřejné informační služby knihoven - UZ 34544</t>
  </si>
  <si>
    <t>Výkon regionálních funkcí knihoven v PK</t>
  </si>
  <si>
    <t>Nákup nemovitostí</t>
  </si>
  <si>
    <t>Dotační tituly Program podpory rozvoje venkovského cestovního ruchu v PK a Podpora činnosti informačních center na území Plzeňského kraje</t>
  </si>
  <si>
    <t>Údržba a značení cyklotras a cyklostezek, údržba lyžařských tras</t>
  </si>
  <si>
    <t>Dotace Plzeňská filharmonie o.p.s.</t>
  </si>
  <si>
    <t>Dotace pro Divadlo Alfa</t>
  </si>
  <si>
    <t>Dotace pro Divadlo J. K. Tyla</t>
  </si>
  <si>
    <t>Festival českých filmů Finále - FINÁLE PLZEŇ o.p.s.</t>
  </si>
  <si>
    <t>Haydnovy hudební slavnosti - Česká společnost Josepha Haydna</t>
  </si>
  <si>
    <t>Hudba v synagogách Plzeňského regionu - Židovská obec Plzeň</t>
  </si>
  <si>
    <t>Mezinárodní bienále kresby Plzeň</t>
  </si>
  <si>
    <t>Mezinárodní festival Divadlo Plzeň</t>
  </si>
  <si>
    <t>Mezinárodní folklorní festival CIOFF Plzeň - Plzeňská folklorní scéna o.s.</t>
  </si>
  <si>
    <t>Mezinárodní folklorní festival Klatovy - Klatovské foklorní sdružení Šumava</t>
  </si>
  <si>
    <t>Ostatní transfery na záchranu a obnovu kulturních památek PK</t>
  </si>
  <si>
    <t>Program na obnovu historického stavebního fondu v památkových rezervacích a zónách a staveb drobné architektury na území PK</t>
  </si>
  <si>
    <t>Program na zachování a obnovu kulturních památek PK</t>
  </si>
  <si>
    <t>Kultura a CR</t>
  </si>
  <si>
    <t>Skupova Plzeň</t>
  </si>
  <si>
    <t>Smetanovské dny - DOMINIK CENTRUM s.r.o.</t>
  </si>
  <si>
    <t>Transfery org., obcím, veř. rozp., obyvat.celkem</t>
  </si>
  <si>
    <t>Kultura a cestovní ruch celkem</t>
  </si>
  <si>
    <t>Majetek</t>
  </si>
  <si>
    <t>Energetické audity, analýza stavu KÚ</t>
  </si>
  <si>
    <t>Opravy a udržování - ostatní</t>
  </si>
  <si>
    <t>Platby daní a poplatků</t>
  </si>
  <si>
    <t>Pojištění nemovitostí ve správě kraje</t>
  </si>
  <si>
    <t>Studie, ZP, GP, služby,…</t>
  </si>
  <si>
    <t>Financování výstavby Klatovské nemocnice</t>
  </si>
  <si>
    <t>Havárie, nenadálé stavební úpravy</t>
  </si>
  <si>
    <t>Pořízení dlouhodobého hmotného majetku, pozemky</t>
  </si>
  <si>
    <t>Pořízení majetku</t>
  </si>
  <si>
    <t>Projektová dokumentace</t>
  </si>
  <si>
    <t>Vyvolané investice - KT nemocnice</t>
  </si>
  <si>
    <t>Výkupy pozemků pod komunikacemi</t>
  </si>
  <si>
    <t>Výkupy pozemků pod krajskými komunikacemi - UZ 98861</t>
  </si>
  <si>
    <t>Majetek celkem</t>
  </si>
  <si>
    <t>Ostatní financování</t>
  </si>
  <si>
    <t>Bankovní poplatky</t>
  </si>
  <si>
    <t>Realizované kurzové ztráty</t>
  </si>
  <si>
    <t>Finanční vypořádání minulých let</t>
  </si>
  <si>
    <t>Finanční vypořádání minulých let celkem</t>
  </si>
  <si>
    <t>Individuální projekty</t>
  </si>
  <si>
    <t>Ostatní provozní výdaje</t>
  </si>
  <si>
    <t>Ostatní - vratky dobropisů, přeplatků záloh, mylně inkasovaných prostředků apod.</t>
  </si>
  <si>
    <t>Rozpočtová rezerva</t>
  </si>
  <si>
    <t>Ostatní provozní výdaje celkem</t>
  </si>
  <si>
    <t>Asociace krajů</t>
  </si>
  <si>
    <t>Financování Regionální rady regionu soudržnosti Jihozápad</t>
  </si>
  <si>
    <t>Grantové programy</t>
  </si>
  <si>
    <t>Komora auditorů</t>
  </si>
  <si>
    <t>Neinvestiční transfery subjektům mimo programy</t>
  </si>
  <si>
    <t>Ostatní financování celkem</t>
  </si>
  <si>
    <t>Regionální rozvoj</t>
  </si>
  <si>
    <t>Technická pomoc při územním plánování, informace - ÚP, tisk dokumentace</t>
  </si>
  <si>
    <t>Výstavy a soutěže, odborné stáže a semináře, poradenské a právní služby, studie, metodická pomoc pro ORP, prezentační materiály, aktualizace www stránek Investice PK aj.</t>
  </si>
  <si>
    <t>Nestav. investice</t>
  </si>
  <si>
    <t>Územně analytické podklady PK, územní studie, nadnárodní územní spolupráce, přeshraniční vazby - územní studie</t>
  </si>
  <si>
    <t>Dotace na podporu činnosti Místních akčních skupin v PK</t>
  </si>
  <si>
    <t>Dotace obcím PK na řešení problematiky havarijních stavů objektů v majetku obcí</t>
  </si>
  <si>
    <t>Neinvestiční transfery subjektům v oblasti Reg. rozvoj</t>
  </si>
  <si>
    <t>Ocenění obcí v rámci soutěže Vesnice roku</t>
  </si>
  <si>
    <t>Program stabilizace a obnovy venkova Plzeňského kraje</t>
  </si>
  <si>
    <t>Soutěž Stavba roku Plzeňského kraje</t>
  </si>
  <si>
    <t>Regionální rozvoj celkem</t>
  </si>
  <si>
    <t>Sociální věci</t>
  </si>
  <si>
    <t>Jednání Sociální komise Asociace krajů ČR</t>
  </si>
  <si>
    <t>Projekty výslechových místností pro dětské svědky a oběti trestné činnosti</t>
  </si>
  <si>
    <t>Přípravné kurzy pro žadatele o NRP</t>
  </si>
  <si>
    <t>Setkání pěstounů</t>
  </si>
  <si>
    <t>Dofinancování provozu</t>
  </si>
  <si>
    <t>Transfery na státní příspěvek zřizovatelům zařízení pro děti vyžadující okamžitou pomoc - UZ 13307</t>
  </si>
  <si>
    <t>Humanitární zahraniční pomoc</t>
  </si>
  <si>
    <t>Investiční transfery subjektům v oblasti sociálních věcí</t>
  </si>
  <si>
    <t>Neinvestiční transfery subjektům v oblasti sociálních věcí</t>
  </si>
  <si>
    <t>Ostatní investiční transfery</t>
  </si>
  <si>
    <t>Podpora pro obce, které mají uzavřenu smlouvu s registr. poskytovatelem soc. služby na zajišťování peč. služby na území PK</t>
  </si>
  <si>
    <t>Prevence kriminality</t>
  </si>
  <si>
    <t>Program podpory projektů mateřských a rodičovských center v PK</t>
  </si>
  <si>
    <t>Program podpory sociálních služeb v Plzeňském kraji</t>
  </si>
  <si>
    <t>Program podpory sociálních služeb v Plzeňském kraji - Pečovatelská služba poskytovaná obcemi</t>
  </si>
  <si>
    <t>Protidrogové projekty-spoluúčast</t>
  </si>
  <si>
    <t>Romská problematika</t>
  </si>
  <si>
    <t>Spoluúčast kraje na řešení sociální problematiky</t>
  </si>
  <si>
    <t>Sociální věci celkem</t>
  </si>
  <si>
    <t>Vnitřní správa</t>
  </si>
  <si>
    <t>Fond zaměstnavatele</t>
  </si>
  <si>
    <t>Kofinancování projektů</t>
  </si>
  <si>
    <t>Nákup vody, paliv a energie</t>
  </si>
  <si>
    <t>Ostatní osobní výdaje - Sbor krajských expertů</t>
  </si>
  <si>
    <t>Ostatní osobní výdaje, odstupné</t>
  </si>
  <si>
    <t>Platy zaměstnanců v pracovním poměru</t>
  </si>
  <si>
    <t>Podpora koordinátorů romských poradců - UZ 04001</t>
  </si>
  <si>
    <t>Povinné pojistné placené zaměstnavatelem</t>
  </si>
  <si>
    <t>Sčítání lidu, domů a bytů - UZ 98005</t>
  </si>
  <si>
    <t>Volby do Parlamentu ČR</t>
  </si>
  <si>
    <t>Volby do zastupitelstev územních samosprávných celků</t>
  </si>
  <si>
    <t>Výdaje souv. s nein. nákupy, příspěvky, náhrady a věcné dary</t>
  </si>
  <si>
    <t>Zálohy</t>
  </si>
  <si>
    <t>Dopravní prostředky</t>
  </si>
  <si>
    <t>Financování informatiky organizací zřízených PK</t>
  </si>
  <si>
    <t>Ostatní nákup dlouh. nehm. majetku</t>
  </si>
  <si>
    <t>Programové vybavení</t>
  </si>
  <si>
    <t>Stroje, přístroje a zařízení</t>
  </si>
  <si>
    <t>Výpočetní technika</t>
  </si>
  <si>
    <t>Ostatní neinvestiční výdaje</t>
  </si>
  <si>
    <t>Budovy, haly a stavby</t>
  </si>
  <si>
    <t>Neinvestiční transfery krajům</t>
  </si>
  <si>
    <t>Náhrady mezd v době nemoci</t>
  </si>
  <si>
    <t>Vnitřní správa celkem</t>
  </si>
  <si>
    <t>Zastupitelé</t>
  </si>
  <si>
    <t>Fond hejtmanky</t>
  </si>
  <si>
    <t>Odměny členů zastupitelstev krajů</t>
  </si>
  <si>
    <t>Ostatní osobní výdaje</t>
  </si>
  <si>
    <t>Transfery do zahraničí</t>
  </si>
  <si>
    <t>Institut regionů Evropy</t>
  </si>
  <si>
    <t>Transfery do zahraničí celkem</t>
  </si>
  <si>
    <t>Neziskový sektor</t>
  </si>
  <si>
    <t>Ostatní neinvestiční transfery obyvatelstvu</t>
  </si>
  <si>
    <t>Zastupitelé celkem</t>
  </si>
  <si>
    <t>Zdravotnictví</t>
  </si>
  <si>
    <t>LSPP nemocnice</t>
  </si>
  <si>
    <t>Opravy a udržování - obchodní společnosti</t>
  </si>
  <si>
    <t>Poplatky ve zdravotnictví</t>
  </si>
  <si>
    <t>Posudková a expertní činnost</t>
  </si>
  <si>
    <t>Rezerva na neočekávané výdaje ve zdravotnictví</t>
  </si>
  <si>
    <t>Služby obecného hospodářského zájmu</t>
  </si>
  <si>
    <t>Výběrová řízení za účelem uzavírání smluv, zákon č. 48/1997 Sb.</t>
  </si>
  <si>
    <t>Zajištění poskytování služeb protiakoholní záchytné stanice - Městská poliklinika, s.r.o.</t>
  </si>
  <si>
    <t>Zneškodňování léčiv, zákon č. 378/2007 Sb.</t>
  </si>
  <si>
    <t>Účelové dotace krajům - TBC - UZ 98335</t>
  </si>
  <si>
    <t>Nákup akcií</t>
  </si>
  <si>
    <t>Stavební investice - obchodní společnosti</t>
  </si>
  <si>
    <t>Neinvestiční transfery subjektům v oblasti zdravotnictví</t>
  </si>
  <si>
    <t>Specializační vzdělávání zdravotnických pracovníků - rezidenční místa - neinvestice - UZ 35015</t>
  </si>
  <si>
    <t>Vedení onkologických registrů</t>
  </si>
  <si>
    <t>Zajištění poskytování služeb protiakoholní záchytné stanice</t>
  </si>
  <si>
    <t>Zneškodňování léčiv - UZ 98297</t>
  </si>
  <si>
    <t>Zdravotnictví celkem</t>
  </si>
  <si>
    <t>Školství a tělovýchova</t>
  </si>
  <si>
    <t>Comenius Regio</t>
  </si>
  <si>
    <t>Grantové projekty</t>
  </si>
  <si>
    <t>Rezerva fin. prostř. na provozní náklady škol a školských zař.</t>
  </si>
  <si>
    <t>Technická pomoc OP VK</t>
  </si>
  <si>
    <t>Šance pro budoucnost - udržitelnost</t>
  </si>
  <si>
    <t>Řemeslo má zlaté dno</t>
  </si>
  <si>
    <t>Olympiáda dětí a mládeže ČR</t>
  </si>
  <si>
    <t>Ostatní kapitál. výdaje</t>
  </si>
  <si>
    <t>Globální grant OP VK v oblasti počátečního vzdělávání</t>
  </si>
  <si>
    <t>Ostatní provoz. výdaje</t>
  </si>
  <si>
    <t>Motivace pro technické vzdělávání mládeže PK</t>
  </si>
  <si>
    <t>Neinvestiční dotace - krajské školy</t>
  </si>
  <si>
    <t>HANDICAP</t>
  </si>
  <si>
    <t>Podpora preventivních aktivit a výchovy k toleranci</t>
  </si>
  <si>
    <t>Podpora sportovních organizací a sportovních akcí</t>
  </si>
  <si>
    <t>Podpora volnočasových aktivit, EVVO, mezinárodní spolupráce</t>
  </si>
  <si>
    <t>Podpora zájmové činnosti /soutěže, přehlídky - Středisko služeb školám Plzeň</t>
  </si>
  <si>
    <t>Příspěvky na vybudování a modernizaci sportovišť</t>
  </si>
  <si>
    <t>Transfery org. , obcím, veř. rozp., obyvat.</t>
  </si>
  <si>
    <t>Globální grant OP VK v oblasti dalšího vzdělávání - neinvestice</t>
  </si>
  <si>
    <t>Neinvestiční dotace - soukromé školy</t>
  </si>
  <si>
    <t>OPVK - Předfinancování projektů</t>
  </si>
  <si>
    <t>Obecní školy</t>
  </si>
  <si>
    <t>Neinvestiční transfery subjektům v oblasti Školství a tělovýchova</t>
  </si>
  <si>
    <t>Školství a tělovýchova celkem</t>
  </si>
  <si>
    <t>Životní prostředí</t>
  </si>
  <si>
    <t>Doplnění Plánu rozvoje, studie kontaminovaných míst-rozšíření databáze, podklady pro plán oblasti povodí, vytvoření databáze vodních nádrží, konzultace - školení VPÚ, služby, publikace, laboratoře, znalci, tlumočníci</t>
  </si>
  <si>
    <t>Environmentální vzdělávání, výchova a osvěta</t>
  </si>
  <si>
    <t>Evropsky významné lokality (Natura 2000) - management</t>
  </si>
  <si>
    <t>Individuální projekt "Analýzy rizika" spolufinancování OPŽP</t>
  </si>
  <si>
    <t>Kontrolní měření emisí a imisí</t>
  </si>
  <si>
    <t>Konzultace, poradenství, analýzy, studie, právní služby</t>
  </si>
  <si>
    <t>Maloplošná chráněná území (přírodní rezervace, přírodní památky) + přírodní parky - management</t>
  </si>
  <si>
    <t>Mezinárodní spolupráce-projekt Vodní škola, spolufinancování z INTERREGu, pokračování sítě ENVIC</t>
  </si>
  <si>
    <t>Náklady na pořízení kopií LHP</t>
  </si>
  <si>
    <t>Posudky dle zákona č. 100/2001</t>
  </si>
  <si>
    <t>Program podpory Plzeňského kraje pro začínající a stávající včelaře</t>
  </si>
  <si>
    <t>Průzkumy mimo chráněná území, stabilizace biotopů, ochrana, údržba a zajištění stanovišť, hnízd atd., záchranné programy, transfery, záchranné stanice</t>
  </si>
  <si>
    <t>Publikační a informační činnost</t>
  </si>
  <si>
    <t>Přednášky pro školení OÚ</t>
  </si>
  <si>
    <t>Služební stejnokroj</t>
  </si>
  <si>
    <t>Vyhledávání budov se zvýšeným obsahem radonu - UZ 75115</t>
  </si>
  <si>
    <t>Vyhodnocení Plánu odpadového hospodářství PK, intenzifikace separovaného sběru odpadů v obcích, skladování nádob na separovaný odpad</t>
  </si>
  <si>
    <t>Zadání posudků k odvolacímu řízení</t>
  </si>
  <si>
    <t>Znalecké posudky</t>
  </si>
  <si>
    <t>Činnost povodňové komise</t>
  </si>
  <si>
    <t>Úhrada výdajů dle vodního zákona na provedení nezbytných opatření na ochranu vod</t>
  </si>
  <si>
    <t>Ekologické projekty</t>
  </si>
  <si>
    <t>Monitorovací management PR Nový Rybník</t>
  </si>
  <si>
    <t>Drobné vodohospodářské akce, dotace obcím</t>
  </si>
  <si>
    <t>Meliorace a hrazení bystřin v lesích podle § 35 odst. 1 a 3 lesního zákona - investice - UZ 29517</t>
  </si>
  <si>
    <t>Náhrada škod způsobená chráněnými živočichy - UZ 98278</t>
  </si>
  <si>
    <t>Ostatní transfery mimo programy</t>
  </si>
  <si>
    <t>Poskytování finančních příspěvků na hospodaření v lesích</t>
  </si>
  <si>
    <t>Životní prostředí celkem</t>
  </si>
  <si>
    <t>CELKEM VÝDAJE KRAJE</t>
  </si>
  <si>
    <t>Příspěvky pro školy a školská zařízení zřizovaná PK na přímé náklady ve vzdělávání - účelový znak 33005, 33353 a 33354 (v tis. Kč)</t>
  </si>
  <si>
    <t>Organizace</t>
  </si>
  <si>
    <t>Účel</t>
  </si>
  <si>
    <t>Krajské školy</t>
  </si>
  <si>
    <t>okres Domažlice</t>
  </si>
  <si>
    <t>Dětský domov, Horšovský Týn (IČ:48342947)</t>
  </si>
  <si>
    <t>Přímé náklady na vzdělávání</t>
  </si>
  <si>
    <t>Dětský domov, Staňkov (IČ:48342971)</t>
  </si>
  <si>
    <t>Dům dětí a mládeže, Domažlice, Hradská 94 (IČ:65571886)</t>
  </si>
  <si>
    <t>Gymnázium J.Š.Baara, Domažlice, Pivovarská 323 (IČ:48342912)</t>
  </si>
  <si>
    <t>Střední odborná škola a Střední odborné učiliště, Horšovský Týn, Littrowa 122 (IČ:00376469)</t>
  </si>
  <si>
    <t>Střední odborné učiliště, Domažlice, Prokopa Velikého 640 (IČ:18230083)</t>
  </si>
  <si>
    <t>Vyšší odb. škola, Obch. akademie a Střední zdravotnická škola, Domažlice, Erbenova 184 (IČ:48342939)</t>
  </si>
  <si>
    <t>Základní škola a Odborná škola, Horšovský Týn, Nádražní 89 (IČ:70842779)</t>
  </si>
  <si>
    <t>Školní statek, Horšovský Týn, Horšov 1 (IČ:00076821)</t>
  </si>
  <si>
    <t>Celkem okres Domažlice</t>
  </si>
  <si>
    <t>okres Klatovy</t>
  </si>
  <si>
    <t>Dětský domov, Kašperské Hory (IČ:61751065)</t>
  </si>
  <si>
    <t>Dům dětí a mládeže, Horažďovice, Zámek 11 (IČ:61781371)</t>
  </si>
  <si>
    <t>Dům dětí a mládeže, Klatovy, ul. 5. května 109 (IČ:69459096)</t>
  </si>
  <si>
    <t>Dům dětí a mládeže, Nýrsko, Husova 156 (IČ:69459100)</t>
  </si>
  <si>
    <t>Dům dětí a mládeže, Sušice, nábř. Jana Seitze 257 (IČ:69459088)</t>
  </si>
  <si>
    <t>Gymnázium Jaroslava Vrchlického, Klatovy, Národních mučedníků 347 (IČ:61750972)</t>
  </si>
  <si>
    <t>Gymnázium, Sušice, Fr. Procházky 324 (IČ:61781444)</t>
  </si>
  <si>
    <t>Integrovaná střední škola, Klatovy, Voříškova 823 (IČ:00574732)</t>
  </si>
  <si>
    <t>Střední odborná škola a Střední odborné učiliště, Sušice, U Kapličky 761 (IČ:00077615)</t>
  </si>
  <si>
    <t>Střední průmyslová škola, Klatovy, nábřeží Kpt. Nálepky 362 (IČ:61750883)</t>
  </si>
  <si>
    <t>Střední zdravotnická škola, Klatovy, Kollárova 444 (IČ:00669768)</t>
  </si>
  <si>
    <t>Střední škola zemědělská a potravinářská, Klatovy, Národních mučedníků 141 (IČ:61781797)</t>
  </si>
  <si>
    <t>Střední škola, Horažďovice, Blatenská 313 (IČ:00077631)</t>
  </si>
  <si>
    <t>Vyšší odb. škola, Obch. akademie a Jazyk. škola s právem státní jazykové zk., Klatovy (IČ:61781771)</t>
  </si>
  <si>
    <t>ZUŠ Horažďovice</t>
  </si>
  <si>
    <t>ZUŠ Klatovy</t>
  </si>
  <si>
    <t>ZUŠ Sušice</t>
  </si>
  <si>
    <t>Základní škola Kašperské Hory, Bohdana Týbla 18 (IČ:70839077)</t>
  </si>
  <si>
    <t>Základní škola a Mateřská škola, Klatovy, Hálkova 133 (IČ:70839042)</t>
  </si>
  <si>
    <t>Základní škola, Horažďovice, Blatenská 310 (IČ:70838585)</t>
  </si>
  <si>
    <t>Školní statek, Klatovy, Činov 635 (IČ:00076848)</t>
  </si>
  <si>
    <t>Celkem okres Klatovy</t>
  </si>
  <si>
    <t xml:space="preserve"> okres Plzeň - jih</t>
  </si>
  <si>
    <t>Dětský domov, Nepomuk (IČ:49180924)</t>
  </si>
  <si>
    <t>Gymnázium, Blovice, Družstevní 650 (IČ:49180932)</t>
  </si>
  <si>
    <t>Integrovaná střední škola, Stod, Plzeňská 322 (IČ:00669938)</t>
  </si>
  <si>
    <t>Střední škola, Oselce 1 (IČ:00077691)</t>
  </si>
  <si>
    <t>Základní škola internátní, Blovice, 5. května 621 (IČ:49180886)</t>
  </si>
  <si>
    <t>Celkem okres Plzeň - jih</t>
  </si>
  <si>
    <t>okres Plzeň - město</t>
  </si>
  <si>
    <t>Dětský domov DOMINO, Plzeň (IČ:49778170)</t>
  </si>
  <si>
    <t>Gymnázium Luďka Pika, Plzeň, Opavská 21 (IČ:49778102)</t>
  </si>
  <si>
    <t>Gymnázium, Plzeň, Mikulášské nám. 23 (IČ:49778145)</t>
  </si>
  <si>
    <t>Hotelová škola, Plzeň, U Borského parku 3 (IČ:00518557)</t>
  </si>
  <si>
    <t>Integrovaná střední škola živnostenská, Plzeň, Škroupova 13 (IČ:00523925)</t>
  </si>
  <si>
    <t>Konzervatoř, Plzeň, Kopeckého sady 10 (IČ:49778111)</t>
  </si>
  <si>
    <t>Krajské centrum vzdělávání a Jazyková škola s právem státní jazykové zkoušky, Plzeň (IČ:49774191)</t>
  </si>
  <si>
    <t>Masarykovo gymnázium, Plzeň, Petákova 2 (IČ:49778099)</t>
  </si>
  <si>
    <t>Obchodní akademie, Plzeň, nám. T. G. Masaryka 13 (IČ:49778161)</t>
  </si>
  <si>
    <t>Odborné učiliště a Praktická škola, Plzeň, Vejprnická 56 (IČ:49774859)</t>
  </si>
  <si>
    <t>Pedagogicko-psychologická poradna, Plzeň, Částkova 78 (IČ:49777564)</t>
  </si>
  <si>
    <t>Speciální mateřská škola pro děti s vadami řeči, Plzeň, Ke Špitálskému lesu 3 (IČ:49778081)</t>
  </si>
  <si>
    <t>Sportovní gymnázium, Plzeň, Táborská 28 (IČ:49778137)</t>
  </si>
  <si>
    <t>Přímé náklady na vzdělávání - sportovní gymnázia</t>
  </si>
  <si>
    <t>Středisko služeb školám, Plzeň, Částkova 78 (IČ:49777700)</t>
  </si>
  <si>
    <t>Středisko volného času dětí a mládeže, Plzeň, Pallova 19 (IČ:66362300)</t>
  </si>
  <si>
    <t>Střední odborná škola obchodu, užitého umění a designu, Plzeň, Nerudova 33 (IČ:00520152)</t>
  </si>
  <si>
    <t>Střední odborná škola profesora Švejcara, Plzeň, Majerova 1 (IČ:69457417)</t>
  </si>
  <si>
    <t>Střední odborné učiliště elektrotechnické, Plzeň, Vejprnická 56 (IČ:69456330)</t>
  </si>
  <si>
    <t>Střední odborné učiliště potravinářské, Plzeň (IČ:00521094)</t>
  </si>
  <si>
    <t>Střední odborné učiliště stavební, Plzeň, Borská 55 (IČ:00497061)</t>
  </si>
  <si>
    <t>Střední průmyslová škola dopravní, Plzeň, Karlovarská 99 (IČ:69457930)</t>
  </si>
  <si>
    <t>Střední průmyslová škola stavební, Plzeň, Chodské nám. 2 (IČ:49778064)</t>
  </si>
  <si>
    <t>Střední průmyslová škola strojnická, Plzeň, Klatovská 109 (IČ:69457425)</t>
  </si>
  <si>
    <t>Střední zdravotnická škola a Vyšší odborná škola zdravotnická, Plzeň, Karlovarská 99 (IČ:00669695)</t>
  </si>
  <si>
    <t>Střední škola informatiky a finančních služeb, Plzeň, Klatovská 200 G (IČ:00574406)</t>
  </si>
  <si>
    <t>Vyšší odborná škola a Střední průmyslová škola elektrotechnická, Plzeň, Koterovská 85 (IČ:49774301)</t>
  </si>
  <si>
    <t>Základní umělecká škola B. Smetany, Plzeň, Revoluční</t>
  </si>
  <si>
    <t>Základní umělecká škola, Plzeň, Chválenická</t>
  </si>
  <si>
    <t>Základní umělecká škola, Plzeň, Jagellonská 14 (IČ:45330212)</t>
  </si>
  <si>
    <t>Základní umělecká škola, Plzeň, Sokolovská 30 (IČ:45335842)</t>
  </si>
  <si>
    <t>Základní umělecká škola, Plzeň, T. Brzkové</t>
  </si>
  <si>
    <t>Základní škola a Mateřská škola pro sluchově postižené, Plzeň, Mohylová 90 (IČ:49778153)</t>
  </si>
  <si>
    <t>Základní škola a Mateřská škola pro zrakově postižené, Plzeň, Lazaretní 25 (IČ:49778200)</t>
  </si>
  <si>
    <t>Základní škola a Mateřská škola při Fakultní nemocnici, Plzeň, alej Svobody 80 (IČ:49777629)</t>
  </si>
  <si>
    <t>Základní škola speciální, Plzeň, Skupova 15 (IČ:49777645)</t>
  </si>
  <si>
    <t>Základní škola, Plzeň, Heyrovského 23 (IČ:49777718)</t>
  </si>
  <si>
    <t>Základní škola, Plzeň, Podmostní 1 (IČ:49777726)</t>
  </si>
  <si>
    <t xml:space="preserve">Celkem okres Plzeň - město </t>
  </si>
  <si>
    <t xml:space="preserve"> okres Plzeň - sever</t>
  </si>
  <si>
    <t>Dům dětí a mládeže RADOVÁNEK, Kaznějov, Pod Továrnou 333 (IČ:69977836)</t>
  </si>
  <si>
    <t>Gymnázium, Plasy, Stará cesta 363 (IČ:70838534)</t>
  </si>
  <si>
    <t>Střední odborná škola, Plasy, Školní 280 (IČ:49745301)</t>
  </si>
  <si>
    <t>Střední škola, Horní Bříza, U Klubu 302 (IČ:00669946)</t>
  </si>
  <si>
    <t>Střední škola, Kralovice, nám. Osvobození 32 (IČ:00077704)</t>
  </si>
  <si>
    <t>Základní škola a Odborná škola, Zbůch, V Sídlišti 349 (IČ:70839352)</t>
  </si>
  <si>
    <t>Základní škola, Kamenný Újezd 67 (IČ:49745255)</t>
  </si>
  <si>
    <t>Školní statek, Plasy, Babina 76 (IČ:00076881)</t>
  </si>
  <si>
    <t xml:space="preserve">Celkem okres Plzeň - sever </t>
  </si>
  <si>
    <t xml:space="preserve"> okres Rokycany</t>
  </si>
  <si>
    <t>Dům dětí a mládeže, Rokycany, Čechova 1155 (IČ:47694921)</t>
  </si>
  <si>
    <t>Gymnázium a Střední odborná škola, Rokycany, Mládežníků 1115 (IČ:48380296)</t>
  </si>
  <si>
    <t>Střední odborné učiliště lesnické a zemědělské, Rokycany, Mládežníků 228 (IČ:00077755)</t>
  </si>
  <si>
    <t>Střední škola, Rokycany, Jeřabinová 96/III (IČ:18242171)</t>
  </si>
  <si>
    <t>Základní umělecká škola, Rokycany (IČ: 48380156)</t>
  </si>
  <si>
    <t>Základní škola, Rokycany, Čechova 40 (IČ:48380261)</t>
  </si>
  <si>
    <t xml:space="preserve">Celkem okres Rokycany </t>
  </si>
  <si>
    <t xml:space="preserve"> okres Tachov</t>
  </si>
  <si>
    <t>Dětský domov, Planá (IČ:70842540)</t>
  </si>
  <si>
    <t>Dětský domov, Tachov (IČ:70842558)</t>
  </si>
  <si>
    <t>Dům dětí a mládeže, Tachov, Školní 1638 (IČ:00377813)</t>
  </si>
  <si>
    <t>Gymnázium, Stříbro, Soběslavova 1426 (IČ:70842582)</t>
  </si>
  <si>
    <t>Gymnázium, Tachov, Pionýrská 1370 (IČ:70842566)</t>
  </si>
  <si>
    <t>Speciální mateřská škola pro děti s vadami řeči, Tachov, Slovenská 969 (IČ:70842591)</t>
  </si>
  <si>
    <t>Střední odborná škola, Stříbro, Benešova 508 (IČ:68783728)</t>
  </si>
  <si>
    <t>Střední odborné učiliště, Planá, Kostelní 129 (IČ:48326437)</t>
  </si>
  <si>
    <t>Střední průmyslová škola, Tachov, Světce 1 (IČ:00520110)</t>
  </si>
  <si>
    <t>Střední škola, Bor, Plzeňská 231 (IČ:00077879)</t>
  </si>
  <si>
    <t>Základní umělecká škola Planá</t>
  </si>
  <si>
    <t>Základní umělecká škola Tachov</t>
  </si>
  <si>
    <t>Základní škola a Mateřská škola, Tachov, Petra Jilemnického 1995 (IČ:70842523)</t>
  </si>
  <si>
    <t>Základní škola, Planá, Na Příkopech 124 (IČ:70842493)</t>
  </si>
  <si>
    <t>Základní škola, Stříbro, Revoluční 1431 (IČ:70842515)</t>
  </si>
  <si>
    <t>Celkem okres Tachov</t>
  </si>
  <si>
    <r>
      <t xml:space="preserve">Pozn.: </t>
    </r>
    <r>
      <rPr>
        <sz val="10"/>
        <rFont val="Arial"/>
        <family val="2"/>
        <charset val="238"/>
      </rPr>
      <t>Poskytovatelem veškerých těchto dotací je Ministerstvo školství, mládeže a tělovýchovy</t>
    </r>
  </si>
  <si>
    <t>Účelové příspěvky (s UZ) poskytnuté prostřednictvím rozpočtu PK organizacím zřizovaným krajem</t>
  </si>
  <si>
    <t xml:space="preserve">   bez přímých výdajů na školství (UZ 33353, 33354) - dle jednotlivých oblastí (v tis. Kč)</t>
  </si>
  <si>
    <t>Školství</t>
  </si>
  <si>
    <t>13233</t>
  </si>
  <si>
    <t>Operační program Lidské zdroje a zaměstnanost</t>
  </si>
  <si>
    <t>13307</t>
  </si>
  <si>
    <t>Transfery na státní příspěvek zřizovatelům zařízení pro děti vyžadující okamžitou pomoc</t>
  </si>
  <si>
    <t>33026</t>
  </si>
  <si>
    <t>Pokusné ověřování maturitní zkoušky v roce 2010</t>
  </si>
  <si>
    <t>MŠMT</t>
  </si>
  <si>
    <t>33006</t>
  </si>
  <si>
    <t>33160</t>
  </si>
  <si>
    <t>Projekty romské komunity</t>
  </si>
  <si>
    <t>Střední odborné učiliště, Domažlice,                          Prokopa Velikého 640 (IČ:18230083)</t>
  </si>
  <si>
    <t>33015</t>
  </si>
  <si>
    <t>Hustota a specifika</t>
  </si>
  <si>
    <t>33017</t>
  </si>
  <si>
    <t>Školní potřeby pro žáky 1. ročníku základního vzdělávání</t>
  </si>
  <si>
    <t>33025</t>
  </si>
  <si>
    <t>Vybavení škol pomůckami kompenzačního a rehabilitačního charakteru</t>
  </si>
  <si>
    <t>33457</t>
  </si>
  <si>
    <t>Asistenti pedagogů pro děti, žáky a studenty se sociálním znevýhodněním</t>
  </si>
  <si>
    <t>13101</t>
  </si>
  <si>
    <t>Integrovaná střední škola, Klatovy,                             Voříškova 823 (IČ:00574732)</t>
  </si>
  <si>
    <t>Střední průmyslová škola, Klatovy,                   nábřeží Kpt. Nálepky 362 (IČ:61750883)</t>
  </si>
  <si>
    <t>Střední zdravotnická škola, Klatovy,                      Kollárova 444 (IČ:00669768)</t>
  </si>
  <si>
    <t>Základní škola Kašperské Hory,                          Bohdana Týbla 18 (IČ:70839077)</t>
  </si>
  <si>
    <t>okres Plzeň - jih</t>
  </si>
  <si>
    <t>Základní škola internátní, Blovice,                        5. května 621 (IČ:49180886)</t>
  </si>
  <si>
    <t>33192</t>
  </si>
  <si>
    <t>Spolupráce s francouzskými, vlámskými a španělskými školami</t>
  </si>
  <si>
    <t>33019</t>
  </si>
  <si>
    <t>Individuální projekt ostatní OP VK - neinvestice - EU</t>
  </si>
  <si>
    <t>Obchodní akademie, Plzeň,                              nám. T. G. Masaryka 13 (IČ:49778161)</t>
  </si>
  <si>
    <t>33166</t>
  </si>
  <si>
    <t>Soutěže</t>
  </si>
  <si>
    <t>33339</t>
  </si>
  <si>
    <t>Program podpory vzdělávání národnostních menšin</t>
  </si>
  <si>
    <t>33244</t>
  </si>
  <si>
    <t>Podpora odborného vzdělávání</t>
  </si>
  <si>
    <t>17007</t>
  </si>
  <si>
    <t>Přeshraniční spolupráce - Cíl 3 - program č. 117410 - NIV - SR</t>
  </si>
  <si>
    <t>33163</t>
  </si>
  <si>
    <t>Program protidrogové politiky</t>
  </si>
  <si>
    <t>okres Plzeň - sever</t>
  </si>
  <si>
    <t>17883</t>
  </si>
  <si>
    <t>Přeshraniční spolupráce - Cíl 3 - program č. 117410 - IV - SR</t>
  </si>
  <si>
    <t>Základní škola a Odborná škola, Zbůch,                     V Sídlišti 349 (IČ:70839352)</t>
  </si>
  <si>
    <t>okres Rokycany</t>
  </si>
  <si>
    <t>Dům dětí a mládeže, Rokycany,                     Čechova 1155 (IČ:47694921)</t>
  </si>
  <si>
    <t>33008</t>
  </si>
  <si>
    <t>Financování dělených hodin pilotním gymnáziím zapojeným do projektu Pilot G Tvorba a ověřování pilotních ŠVP ve vybraných gymnáziích</t>
  </si>
  <si>
    <t>Střední odborné učiliště lesnické                          a zemědělské, Rokycany, Mládežníků 228 (IČ:00077755)</t>
  </si>
  <si>
    <t>okres Tachov</t>
  </si>
  <si>
    <t>33123</t>
  </si>
  <si>
    <t>OP VK - oblast 1.4. EU peníze školám - EU</t>
  </si>
  <si>
    <t>Celkem Školství</t>
  </si>
  <si>
    <t>Kultura</t>
  </si>
  <si>
    <t>Kulturní organizace</t>
  </si>
  <si>
    <t>Galerie Klatovy - Klenová, Klenová 1 (IČ:00177270)</t>
  </si>
  <si>
    <t>34070</t>
  </si>
  <si>
    <t>Kulturní aktivity</t>
  </si>
  <si>
    <t>Muzeum Dr. Bohuslava Horáka Rokycany, nám. Josefa Urbana 141 (IČ:00368598)</t>
  </si>
  <si>
    <t>34053</t>
  </si>
  <si>
    <t>Veřejné informační služby knihoven - neinvestice</t>
  </si>
  <si>
    <t>Muzeum a galerie severního Plzeňska, Mariánský Týnec 1 (IČ:00368563)</t>
  </si>
  <si>
    <t>34090</t>
  </si>
  <si>
    <t>Program restaurování movitých kulturních památek</t>
  </si>
  <si>
    <t>34711</t>
  </si>
  <si>
    <t>Integrovaný systém ochrany movitého kulturního dědictví - investice - program č. 434 313</t>
  </si>
  <si>
    <t>Studijní a vědecká knihovna Plzeňského kraje, Plzeň, Smetanovy sady 2 (IČ:00078077)</t>
  </si>
  <si>
    <t>Vlastivědné muzeum Dr. Hostaše                        v Klatovech, Hostašova 1 (IČ:00075078)</t>
  </si>
  <si>
    <t>Západočeská galerie, Plzeň, Pražská 13 (IČ:00263338)</t>
  </si>
  <si>
    <t>34544</t>
  </si>
  <si>
    <t>Veřejné informační služby knihoven - investice</t>
  </si>
  <si>
    <t>Západočeské muzeum v Plzni,                           Kopeckého sady 2 (IČ:00228745)</t>
  </si>
  <si>
    <t>34342</t>
  </si>
  <si>
    <t>Integrovaný systém ochrany movitého kulturního dědictví - neinvestice - program 434 313</t>
  </si>
  <si>
    <t>Celkem Kultura</t>
  </si>
  <si>
    <t>Sociální organizace</t>
  </si>
  <si>
    <t>Domov klidného stáří v Žinkovech, příspěvková organizace, Žinkovy 89 (IČ:49180312)</t>
  </si>
  <si>
    <t>13501</t>
  </si>
  <si>
    <t>Pořízení a technická obnova investičního majetku ve správě ústavů sociální péče</t>
  </si>
  <si>
    <t>Celkem Sociální věci</t>
  </si>
  <si>
    <t>Zdravotnické organizace</t>
  </si>
  <si>
    <t>Dětský domov Trnová, příspěvková organizace, Trnová 200 (IČ:00671045)</t>
  </si>
  <si>
    <t>Celkem Zdravotnictví</t>
  </si>
  <si>
    <t>Celkem příspěvkové organizace PK</t>
  </si>
  <si>
    <t>Seznam použitých zkratek:</t>
  </si>
  <si>
    <t>MK - Ministerstvo kultury</t>
  </si>
  <si>
    <t>MMR - Ministerstvo pro místní rozvoj</t>
  </si>
  <si>
    <t>MPSV - Ministerstvo práce a sociálních věcí</t>
  </si>
  <si>
    <t>MŠMT - Ministerstvo školství, mládeže a tělovýchovy</t>
  </si>
  <si>
    <t>Přehled o majetku, pohledávkách a závazcích organizací Plzeňského kraje k 31.12.2010</t>
  </si>
  <si>
    <t xml:space="preserve">Základní údaje o organizaci </t>
  </si>
  <si>
    <t>Údaje z P1-04</t>
  </si>
  <si>
    <t>Údaje z Rozvahy (bilance) - v tis. Kč</t>
  </si>
  <si>
    <t>Údaje z Výkazu zisku a ztráty - v tis. Kč</t>
  </si>
  <si>
    <t xml:space="preserve">Název organizace </t>
  </si>
  <si>
    <t>Sídlo</t>
  </si>
  <si>
    <t>Počet zam. - přepočtený (ř.501)</t>
  </si>
  <si>
    <t>Počet zam.- fyzický (ř. 502)</t>
  </si>
  <si>
    <t>Úhrn aktiv (netto)</t>
  </si>
  <si>
    <t>Dlouhodobý hm. majetek (pol. A/II brutto)</t>
  </si>
  <si>
    <t>Dlouh. finanční majetek (pol. A/III brutto)</t>
  </si>
  <si>
    <t>Fond odměn (pol. C/II.1.)</t>
  </si>
  <si>
    <t>FKSP (pol. C/II. 2.)</t>
  </si>
  <si>
    <t>Fond rezervní tvoř. ze zl. VH (pol. C/II.3.)</t>
  </si>
  <si>
    <t>Fond rezervní z ost. titulů (pol. C/II.4.)</t>
  </si>
  <si>
    <t>Fond reprodukce majetku (pol. C/II.5.)</t>
  </si>
  <si>
    <t>Fondy ÚJ celkem (pol. C/II.)</t>
  </si>
  <si>
    <t>Úhrn pasiv (netto)</t>
  </si>
  <si>
    <t>Dlouhodobé závazky (pol.D/III.)</t>
  </si>
  <si>
    <t>Krátkodobé závazky (pol. D/IV.)</t>
  </si>
  <si>
    <t>Bankovní výpomoci a půjčky (D/III.1, D/IV.1, D/IV.4)</t>
  </si>
  <si>
    <t>Hosp. výsledek před zdaněním (pol. B/VI/1.)</t>
  </si>
  <si>
    <t>Hosp. výsledek po zdanění (pol. B/VI/4.)</t>
  </si>
  <si>
    <t>Odpisy (pol. A/ I.25)</t>
  </si>
  <si>
    <t>Náklady (třída 5) celkem (pol. A)</t>
  </si>
  <si>
    <t>Výnosy (třída 6) celkem, (pol. B)</t>
  </si>
  <si>
    <t>Provozní dotace (pol.B/IV)</t>
  </si>
  <si>
    <t>Školské příspěvkové organizace</t>
  </si>
  <si>
    <t>Dětský domov DOMINO, Plzeň</t>
  </si>
  <si>
    <t>Vojanova 22,  318 00 Plzeň</t>
  </si>
  <si>
    <t>Masarykovo gymnázium, Plzeň, Petákova 2</t>
  </si>
  <si>
    <t>Petákova 2,  301 00 Plzeň</t>
  </si>
  <si>
    <t>Gymnázium, Plzeň,  Mikulášské nám. 23</t>
  </si>
  <si>
    <t>Mikulášské nám. 23, 326 00 Plzeň</t>
  </si>
  <si>
    <t>Gymymnázimu Luďka Pika,  Plzeň, Opavská 21</t>
  </si>
  <si>
    <t>Opavská 21,  312 00 Plzeň</t>
  </si>
  <si>
    <t>Sportovní gymnázium, Plzeň, Táborská 28</t>
  </si>
  <si>
    <t>Táborská 28,  326 00 Plzeň</t>
  </si>
  <si>
    <t>Integrovaná střední škola živnostenská, Plzeň, Škroupova 13</t>
  </si>
  <si>
    <t>00523925</t>
  </si>
  <si>
    <t>Škroupova 13,  301 00 Plzeň</t>
  </si>
  <si>
    <t>Krajské centrum vzdělávání a Jazyková škola s právem státní jazykové zkoušky, Plzeň, sady 5. května 42</t>
  </si>
  <si>
    <t xml:space="preserve">sady 5. května 42,  301 00 Plzeň  </t>
  </si>
  <si>
    <t>Konzervatoř, Plzeň, Kopeckého sady 10</t>
  </si>
  <si>
    <t>Kopeckého sady 10,  301 00 Plzeň</t>
  </si>
  <si>
    <t>Obchodní akademie, Plzeň, nám. T.G. Masaryka 13</t>
  </si>
  <si>
    <t>nám. T.G.Masaryka 13,  301 00 Plzeň</t>
  </si>
  <si>
    <t>Odborné učiliště a Praktická škola, Plzeň, Vejprnická 56</t>
  </si>
  <si>
    <t>Vejprnická 56,  318 00 Plzeň</t>
  </si>
  <si>
    <t>Základní škola speciální, Plzeň, Skupova 15</t>
  </si>
  <si>
    <t>Skupova 15,  301 00 Plzeň</t>
  </si>
  <si>
    <t xml:space="preserve">Pedagogicko-psychologická poradna, Plzeň, Částkova 78 </t>
  </si>
  <si>
    <t>Částkova 78,  326 00 Plzeň</t>
  </si>
  <si>
    <t>Středisko služeb školám, Plzeň, Částkova 78</t>
  </si>
  <si>
    <t>Střední odborná škola profesora Švejcara, Plzeň, Majerova 1</t>
  </si>
  <si>
    <t>Majerova 1,  301 00 Plzeň</t>
  </si>
  <si>
    <t>Hotelová škola, Plzeň, U Borského parku 3</t>
  </si>
  <si>
    <t>00518557</t>
  </si>
  <si>
    <t>U Borského parku 3,  301 00 Plzeň</t>
  </si>
  <si>
    <t>Střední průmyslová škola dopravní, Plzeň, Karlovarská 99</t>
  </si>
  <si>
    <t>Karlovarská 99,  323 00 Plzeň</t>
  </si>
  <si>
    <t>Střední škola informatiky a finančních služeb, Plzeň, Klatovská 200 G</t>
  </si>
  <si>
    <t>00574406</t>
  </si>
  <si>
    <t>Klatovská 200G,  321 00 Plzeň</t>
  </si>
  <si>
    <t>Střední odborné učiliště elektrotechnické, Plzeň, Vejprnická 56</t>
  </si>
  <si>
    <t>Střední odborná škola obchodu, užitého umění a designu, Plzeň, Nerudova 33</t>
  </si>
  <si>
    <t>00520152</t>
  </si>
  <si>
    <t>Nerudova 33,  301 00 Plzeň</t>
  </si>
  <si>
    <t>Střední odborné učiliště stavební, Plzeň, Borská 55</t>
  </si>
  <si>
    <t>00497061</t>
  </si>
  <si>
    <t>Borská 55,  301 00 Plzeň</t>
  </si>
  <si>
    <t>Speciální mateřská škola pro děti s vadami řeči, Plzeň, Ke Špitálskému lesu 3</t>
  </si>
  <si>
    <t>Ke Špitálskému lesu 3,  312 00 Plzeň</t>
  </si>
  <si>
    <t>Základní škola a Mateřská škola pro sluchově postižené, Plzeň, Mohylová 90</t>
  </si>
  <si>
    <t>Mohylová 90,  312 00 Plzeň</t>
  </si>
  <si>
    <t>Základní škola a Mateřská škola pro zrakově postižené, Plzeň, Lazaretní 25</t>
  </si>
  <si>
    <t>Lazaretní 25,  312 00 Plzeň</t>
  </si>
  <si>
    <t>Střední průmyslová škola strojnická, Plzeň, Klatovská 109</t>
  </si>
  <si>
    <t>Klatovská 109,  321 00 Plzeň</t>
  </si>
  <si>
    <t>Vyšší odborná škola a Střední průmyslová škola elektrotechnická, Plzeň, Koterovská 85</t>
  </si>
  <si>
    <t>Koterovská 85,  326 00 Plzeň</t>
  </si>
  <si>
    <t>Střední průmyslová škola stavební, Plzeň, Chodské nám. 2</t>
  </si>
  <si>
    <t>Chodské náměstí 2,  301 00 Plzeň</t>
  </si>
  <si>
    <t>Středisko volného času dětí a mládeže, Plzeň, Pallova 19</t>
  </si>
  <si>
    <t>Pallova 19,  301 00 Plzeň</t>
  </si>
  <si>
    <t>Střední zdravotnická škola a Vyšší odborná škola zdravotnická, Plzeň, Karlovarská 99</t>
  </si>
  <si>
    <t>00669695</t>
  </si>
  <si>
    <t>Základní škola a Mateřská škola při Fakultní nemocnici, Plzeň, alej Svobody 80</t>
  </si>
  <si>
    <t>alej Svobody 80,  323 00 Plzeň</t>
  </si>
  <si>
    <t>Základní umělecká škola, Plzeň, Chválenická 17</t>
  </si>
  <si>
    <t>Chválenická 17,  326 00 Plzeň</t>
  </si>
  <si>
    <t>Základní umělecká škola, Plzeň, Jagellonská 14</t>
  </si>
  <si>
    <t>Jagellonská 14,  301 00 Plzeň</t>
  </si>
  <si>
    <t>Základní umělecká škola B. Smetany, Plzeň, Revoluční 100</t>
  </si>
  <si>
    <t>Revoluční 100,  312 00 Plzeň</t>
  </si>
  <si>
    <t>Základní umělecká škola, Plzeň, Sokolovská 54</t>
  </si>
  <si>
    <t>Sokolovská 54,  323 00 Plzeň</t>
  </si>
  <si>
    <t>Základní umělecká škola, Plzeň, Terezie Brzkové 33</t>
  </si>
  <si>
    <t>T.Brzkové 33,  318 00 Plzeň</t>
  </si>
  <si>
    <t>Základní škola, Plzeň, Heyrovského 23</t>
  </si>
  <si>
    <t>Heyrovského 23,  301 00 Plzeň</t>
  </si>
  <si>
    <t>Základní škola, Plzeň, Podmostní 1</t>
  </si>
  <si>
    <t>Podmostní 1,  301 00 plzeň</t>
  </si>
  <si>
    <t>Domažlice</t>
  </si>
  <si>
    <t>Střední odborné učiliště, Domažlice, Prokopa Velikého 640</t>
  </si>
  <si>
    <t>18230083</t>
  </si>
  <si>
    <t>Prokopa Velikého 640,  344 01 Domažlice</t>
  </si>
  <si>
    <t>Gymnázium J.Š.Baara, Domažlice, Pivovarská 323</t>
  </si>
  <si>
    <t>48342912</t>
  </si>
  <si>
    <t>Pivovarská 323,  344 01 Domažlice</t>
  </si>
  <si>
    <t>Vyšší odborná škola, Obchodní akademie a Střední zdravotnická škola, Domažlice, Erbenova 184</t>
  </si>
  <si>
    <t>48342939</t>
  </si>
  <si>
    <t>Erbenova 184,  344 01 Domažlice</t>
  </si>
  <si>
    <t>Dětský domov, Horšovský Týn</t>
  </si>
  <si>
    <t>48342947</t>
  </si>
  <si>
    <t>Nová ves 1,  346 01 Horšovský Týn</t>
  </si>
  <si>
    <t>Dětský domov, Staňkov</t>
  </si>
  <si>
    <t>48342971</t>
  </si>
  <si>
    <t>Mathauserova 117,  345 61 Staňkov</t>
  </si>
  <si>
    <t>Dům dětí a mládeže, Domažlice, Hradská 94</t>
  </si>
  <si>
    <t>65571886</t>
  </si>
  <si>
    <t>Hradská 94,  344 01 Domažlice</t>
  </si>
  <si>
    <t>Základní škola a Odborná škola, Horšovský Týn, Nádražní 89</t>
  </si>
  <si>
    <t>70842779</t>
  </si>
  <si>
    <t>Nádražní 89,  346 01 Horšovský Týn</t>
  </si>
  <si>
    <t>Plzeň-sever</t>
  </si>
  <si>
    <t>Školní statek, Plasy, Babina 76</t>
  </si>
  <si>
    <t>00076881</t>
  </si>
  <si>
    <t>Babina 76,  331 01 Plasy</t>
  </si>
  <si>
    <t>Střední škola, Horní Bříza, U Klubu 302</t>
  </si>
  <si>
    <t>00669946</t>
  </si>
  <si>
    <t>U Klubu 302,  330 12 Horní Bříza</t>
  </si>
  <si>
    <t>Základní škola, Kamenný Újezd 67</t>
  </si>
  <si>
    <t>49745255</t>
  </si>
  <si>
    <t>Kamenný Újezd 67,  330 23 Nýřany</t>
  </si>
  <si>
    <t>Střední odborná škola, Plasy, Školní 280</t>
  </si>
  <si>
    <t>49745301</t>
  </si>
  <si>
    <t>Školní 280,  331 01 Plasy</t>
  </si>
  <si>
    <t>Dům dětí a mládeže RADOVÁNEK, Kaznějov, Pod Továrnou 333</t>
  </si>
  <si>
    <t>69977836</t>
  </si>
  <si>
    <t>Pod Továrnou 333,  331 51</t>
  </si>
  <si>
    <t>Gymnázium, Plasy, Stará cesta 363</t>
  </si>
  <si>
    <t>70838534</t>
  </si>
  <si>
    <t>Stará cesta 363,  331 01 Plasy</t>
  </si>
  <si>
    <t>Základní škola a Odborná škola, Zbůch, V Sídlišti 349</t>
  </si>
  <si>
    <t>70839352</t>
  </si>
  <si>
    <t>Zbůch 349,  330 22 Zbůch</t>
  </si>
  <si>
    <t>Rokycany</t>
  </si>
  <si>
    <t>Střední škola, Rokycany, Jeřabinová 96/III</t>
  </si>
  <si>
    <t>18242171</t>
  </si>
  <si>
    <t>Jeřabinová 96/III,  337 01 Rokycany</t>
  </si>
  <si>
    <t>Dům dětí a mládeže, Rokycany, Čechova 1155</t>
  </si>
  <si>
    <t>47694921</t>
  </si>
  <si>
    <t>Čechova 1155,  337 01 Rokycany</t>
  </si>
  <si>
    <t>Základní umělecká škola, Rokycany, Jiráskova 181</t>
  </si>
  <si>
    <t>48380156</t>
  </si>
  <si>
    <t>Jiráskova 181/1,   337 01 Rokycany</t>
  </si>
  <si>
    <t>Základní škola, Rokycany, Čechova 40</t>
  </si>
  <si>
    <t>48380261</t>
  </si>
  <si>
    <t>Čechova 40,  337 01 Rokycany</t>
  </si>
  <si>
    <t>Gymnázium a Střední odborná škola, Rokycany, Mládežníků 1115</t>
  </si>
  <si>
    <t>48380296</t>
  </si>
  <si>
    <t>Mládežníků 1115,  337 01 Rokycany</t>
  </si>
  <si>
    <t>Tachov</t>
  </si>
  <si>
    <t>Dům dětí a mládeže, Tachov, Školní 1638</t>
  </si>
  <si>
    <t>00377813</t>
  </si>
  <si>
    <t>Školní 1638,  347 01  Tachov</t>
  </si>
  <si>
    <t>Střední průmyslová škola, Tachov, Světce 1</t>
  </si>
  <si>
    <t>00520110</t>
  </si>
  <si>
    <t>Světce č.1,  347 01 Tachov</t>
  </si>
  <si>
    <t>Střední odborné učiliště, Planá, Kostelní 129</t>
  </si>
  <si>
    <t>48326437</t>
  </si>
  <si>
    <t>Kostelní 129,  348 15 Pláná u Mariánských Lázní</t>
  </si>
  <si>
    <t>Základní umělecká škola, Tachov, Rokycanova 1</t>
  </si>
  <si>
    <t>68780699</t>
  </si>
  <si>
    <t>Rokycanova 1,  347 01 Tachov</t>
  </si>
  <si>
    <t>Základní umělecká škola, Planá, Dukelských hrdinů 85</t>
  </si>
  <si>
    <t>68780702</t>
  </si>
  <si>
    <t>Dukelských hrdinů 85,  348 15 Planá u Mariánských Lázní</t>
  </si>
  <si>
    <t>Střední odborná škola, Stříbro, Benešova 508</t>
  </si>
  <si>
    <t>68783728</t>
  </si>
  <si>
    <t>Benešova 508,  349 01 Stříbro</t>
  </si>
  <si>
    <t>Základní škola, Planá, Zámecká 853</t>
  </si>
  <si>
    <t>70842493</t>
  </si>
  <si>
    <t>Zámecká 853, 348 15 Planá u Mariánských Lázní</t>
  </si>
  <si>
    <t>Základní škola, Stříbro, Revoluční 1431</t>
  </si>
  <si>
    <t>70842515</t>
  </si>
  <si>
    <t>Revoluční 1431,  349 01 Stříbro</t>
  </si>
  <si>
    <t>Základní škola, Tachov, Petra Jilemnického 1995</t>
  </si>
  <si>
    <t>70842523</t>
  </si>
  <si>
    <t>P.Jilemnického 1995,  347 01 Tachov</t>
  </si>
  <si>
    <t>Dětský domov Čtyřlístek, Planá</t>
  </si>
  <si>
    <t>70842540</t>
  </si>
  <si>
    <t>Zámecká 853, 348 15 Planá</t>
  </si>
  <si>
    <t>Dětský domov, Tachov</t>
  </si>
  <si>
    <t>70842558</t>
  </si>
  <si>
    <t>P.Jilemnického 576,  347 01 Tachov</t>
  </si>
  <si>
    <t>Gymnázium, Tachov, Pionýrská 1370</t>
  </si>
  <si>
    <t>70842566</t>
  </si>
  <si>
    <t>Pionýrská 1370,  347 01 Tachov</t>
  </si>
  <si>
    <t>Gymnázium, Stříbro, Soběslavova 1426</t>
  </si>
  <si>
    <t>70842582</t>
  </si>
  <si>
    <t>Soběslavova 1426,  349 01 Stříbro</t>
  </si>
  <si>
    <t>Klatovy</t>
  </si>
  <si>
    <t>Školní statek, Klatovy, Činov 635</t>
  </si>
  <si>
    <t>00076848</t>
  </si>
  <si>
    <t>Činov 635,  339 01 Klatovy</t>
  </si>
  <si>
    <t>Integrovaná střední škola, Klatovy, Voříškova 823</t>
  </si>
  <si>
    <t>00574732</t>
  </si>
  <si>
    <t>Voříškova 823,  339 01 Klatovy</t>
  </si>
  <si>
    <t>Střední zdravotnická škola, Klatovy, Kollárova 444</t>
  </si>
  <si>
    <t>00669768</t>
  </si>
  <si>
    <t>Kollárova 444,  339 01 Klatovy</t>
  </si>
  <si>
    <t>Střední průmyslová škola, Klatovy, nábřeží Kpt. Nálepky 362</t>
  </si>
  <si>
    <t>61750883</t>
  </si>
  <si>
    <t>Nábřež. Kapitána Nálepky 362,  339 01 Klatovy</t>
  </si>
  <si>
    <t>Gymnázium Jaroslava Vrchlického, Klatovy, Národních mučedníků 347</t>
  </si>
  <si>
    <t>61750972</t>
  </si>
  <si>
    <t>Národ. Mučedníků 347,  339 01 Klatovy</t>
  </si>
  <si>
    <t>Dětský domov, Kašperské Hory</t>
  </si>
  <si>
    <t>61751065</t>
  </si>
  <si>
    <t>Náměstí 146,  341 92 Kašperské Hory</t>
  </si>
  <si>
    <t>Dům dětí a mládeže, Horažďovice, Zámek 11</t>
  </si>
  <si>
    <t>61781371</t>
  </si>
  <si>
    <t>Zámek 11,  341 01 Horažďovice</t>
  </si>
  <si>
    <t>Gymnázium, Sušice, Fr. Procházky 324</t>
  </si>
  <si>
    <t>61781444</t>
  </si>
  <si>
    <t>Fr. Procházky 324, 342 01 Sušice</t>
  </si>
  <si>
    <t>Vyšší odborná škola, Obchodní akademie a Jazyková škola s právem státní jazykové zkoušky, Klatovy, Plánická 196</t>
  </si>
  <si>
    <t>61781771</t>
  </si>
  <si>
    <t>Planická 196,   339 01 Klatovy</t>
  </si>
  <si>
    <t>Střední škola zemědělská a potravinářská, Klatovy, Národních mučedníků 141</t>
  </si>
  <si>
    <t>61781797</t>
  </si>
  <si>
    <t>Národ. Mučedníků 141,  339 01 Klatovy</t>
  </si>
  <si>
    <t>Dům dětí a mládeže, Klatovy, ul. 5. května 109</t>
  </si>
  <si>
    <t>69459096</t>
  </si>
  <si>
    <t>ul. 5. května 109,  339 01 Klatovy</t>
  </si>
  <si>
    <t>Dům dětí a mládeže, Nýrsko, prap. Veitla 23</t>
  </si>
  <si>
    <t>69459100</t>
  </si>
  <si>
    <t>prap. Veitla 23,  340 22 Nýrsko</t>
  </si>
  <si>
    <t>Základní umělecká škola Josefa Kličky, Klatovy, Plánická 208</t>
  </si>
  <si>
    <t>70838542</t>
  </si>
  <si>
    <t>Plánická 208/1,  339 01 Klatovy</t>
  </si>
  <si>
    <t>Základní umělecká škola, Horažďovice, Blatenská 310, okres Klatovy</t>
  </si>
  <si>
    <t>70838569</t>
  </si>
  <si>
    <t>Blatenská 310,  341 01 Horažďovice</t>
  </si>
  <si>
    <t>Základní umělecká škola Františka Stupky, Sušice, Lerchova 255, okres Klatovy</t>
  </si>
  <si>
    <t>70838577</t>
  </si>
  <si>
    <t>Lerchova 255,  342 01 Sušice</t>
  </si>
  <si>
    <t>Základní škola, Horažďovice, Blatenská 310</t>
  </si>
  <si>
    <t>70838585</t>
  </si>
  <si>
    <t>Základní škola a Mateřská škola, Klatovy, Hálkova 133</t>
  </si>
  <si>
    <t>70839042</t>
  </si>
  <si>
    <t>Hálkova 133/V,   339 01 Klatovy</t>
  </si>
  <si>
    <t>Základní škola, Kašperské Hory, Bohdana Týbla 18</t>
  </si>
  <si>
    <t>70839077</t>
  </si>
  <si>
    <t>Bohdana Týbla 18,  341 92 Kašperské Hory</t>
  </si>
  <si>
    <t>Plzeň-jih</t>
  </si>
  <si>
    <t>Integrovaná střední škola, Stod, Plzeňská 322</t>
  </si>
  <si>
    <t>00669938</t>
  </si>
  <si>
    <t>Plzeňská 322,  333 01 Stod</t>
  </si>
  <si>
    <t>Základní škola internátní, Blovice, 5. května 621</t>
  </si>
  <si>
    <t>49180886</t>
  </si>
  <si>
    <t>ul. 5. Května 621,  336 01 Blovice</t>
  </si>
  <si>
    <t>Dětský domov, Nepomuk</t>
  </si>
  <si>
    <t>49180924</t>
  </si>
  <si>
    <t>Nepomuk 278,  335 01 Nepomuk</t>
  </si>
  <si>
    <t>Gymnázium, Blovice, Družstevní 650</t>
  </si>
  <si>
    <t>49180932</t>
  </si>
  <si>
    <t>Družstevní 650, 336 01 Blovice</t>
  </si>
  <si>
    <t>Školy resortu MZ ČR</t>
  </si>
  <si>
    <t>Střední odborná škola a Střední odborné učiliště, Horšovský Týn, Littrowa 122</t>
  </si>
  <si>
    <t>00376469</t>
  </si>
  <si>
    <t>Littrova 122,  346 01 Horšovský Týn</t>
  </si>
  <si>
    <t>Střední škola, Horažďovice, Blatenská 313</t>
  </si>
  <si>
    <t>00077631</t>
  </si>
  <si>
    <t>Blatenská 313,  341 01 Horažďovice</t>
  </si>
  <si>
    <t>Střední odborná škola a Střední odborné učiliště, Sušice, U Kapličky 761</t>
  </si>
  <si>
    <t>00077615</t>
  </si>
  <si>
    <t>U Kapličky 761,  342 01 Sušice</t>
  </si>
  <si>
    <t>Střední škola, Oselce 1</t>
  </si>
  <si>
    <t>00077691</t>
  </si>
  <si>
    <t>Oselce 1,  335 01 Nepomuk</t>
  </si>
  <si>
    <t>Střední škola, Kralovice, nám. Osvobození 32</t>
  </si>
  <si>
    <t>00077704</t>
  </si>
  <si>
    <t>nám. Osvobození 32,  331 41 Kralovice</t>
  </si>
  <si>
    <t>Střední škola, Bor, Plzeňská 231</t>
  </si>
  <si>
    <t>00077879</t>
  </si>
  <si>
    <t>Plzeňská 231,  348 02 Bor</t>
  </si>
  <si>
    <t>Střední odborné učiliště lesnické a zemědělské, Rokycany, Mládežníků 228</t>
  </si>
  <si>
    <t>00077755</t>
  </si>
  <si>
    <t>Mládežníků 228/II,   337 01 Rokycany</t>
  </si>
  <si>
    <t>Sociální příspěvkové organizace</t>
  </si>
  <si>
    <t>Domov pro osoby se zdravotním postižením Bystřice nad Úhlavou, příspěvková organizace</t>
  </si>
  <si>
    <t>Bystřice nad Úhlavou 44, 340 22 Nýrsko</t>
  </si>
  <si>
    <t>Centrum sociálních služeb Domažlice, příspěvková organizace</t>
  </si>
  <si>
    <t>Baldovská 583 , 344 01 Domažlice</t>
  </si>
  <si>
    <t>Domov pro osoby se zdravotním postižením Horní Bříza, příspěvková organizace</t>
  </si>
  <si>
    <t>00022578</t>
  </si>
  <si>
    <t>U Vrbky 486, 330 12 Horní Bříza</t>
  </si>
  <si>
    <t>Dům seniorů Kdyně, příšpěvková organizace</t>
  </si>
  <si>
    <t>Pod Korábem 669, 345 06 Kdyně</t>
  </si>
  <si>
    <t>Dům sociální péče Kralovice, příspěvková organizace</t>
  </si>
  <si>
    <t>Plzeňská 345, 331 41 Kralovice</t>
  </si>
  <si>
    <t>Domov sociálních služeb Liblín příspěvková organizace</t>
  </si>
  <si>
    <t>48379794</t>
  </si>
  <si>
    <t>Liblín 1, 331 41 Kralovice</t>
  </si>
  <si>
    <t>Domov pro osoby se zdravotním postižením Milíře, příspěvková organizace</t>
  </si>
  <si>
    <t>Milíře 193, 347 01 Tachov</t>
  </si>
  <si>
    <t>Domov Harmonie, centrum sociálních služeb Mirošov, příspěvková organizace</t>
  </si>
  <si>
    <t>Skořická 314, 338 43 Mirošov</t>
  </si>
  <si>
    <t>Domov pro osoby se zdravotním postižením Stod, příspěvková organizace</t>
  </si>
  <si>
    <t>ul. 28 října 377, 333 01 Stod</t>
  </si>
  <si>
    <t>Centrum sociálních služeb Tachov, příspěvková organizace</t>
  </si>
  <si>
    <t>00377805</t>
  </si>
  <si>
    <t>Americká 242, 347 01 Tachov</t>
  </si>
  <si>
    <t>Domov pro seniory Vlčice, příspěvková organizace</t>
  </si>
  <si>
    <t>Vlčice 66, 336 01 Blovice</t>
  </si>
  <si>
    <t>Domov klidného stáří v Žinkovech, příspěvková organizace</t>
  </si>
  <si>
    <t>Žinkovy 89, 335 54 Žinkovy</t>
  </si>
  <si>
    <t>Zdravotnické příspěvkové organizace</t>
  </si>
  <si>
    <t>Zdravotnická záchranná služba PK</t>
  </si>
  <si>
    <t>Edvarda Beneše 19, 301 00  Plzeň</t>
  </si>
  <si>
    <t xml:space="preserve">Dětský domov Trnová </t>
  </si>
  <si>
    <t>00671045</t>
  </si>
  <si>
    <t xml:space="preserve">Trnová 200, PSČ. 33013 </t>
  </si>
  <si>
    <t>Nemocnice Plzeňského kraje</t>
  </si>
  <si>
    <t>00574791</t>
  </si>
  <si>
    <t>Škroupova 18 Plzeň</t>
  </si>
  <si>
    <t>Nemocnice Domažlice</t>
  </si>
  <si>
    <t>00073822</t>
  </si>
  <si>
    <t>Kozinova 292,344 22 Domažlice</t>
  </si>
  <si>
    <t>Kulturní příspěvkové organizace</t>
  </si>
  <si>
    <t>Galerie Klatovy/Klenová</t>
  </si>
  <si>
    <t>00177270</t>
  </si>
  <si>
    <t>Klenová čp. 1 340 21,  Janovice nad Úhlavou</t>
  </si>
  <si>
    <t>Hvězdárna v Rokycanech</t>
  </si>
  <si>
    <t>00368601</t>
  </si>
  <si>
    <t>Voldušská 721, 337 11 Rokycany</t>
  </si>
  <si>
    <t>Muzeum a galerie severního Plzeňska v Mariánské Týnici</t>
  </si>
  <si>
    <t>Mariánská Týnice 1, 331 41 Kralovice</t>
  </si>
  <si>
    <t>Muzeum Českého lesa v Tachově</t>
  </si>
  <si>
    <t>00076716</t>
  </si>
  <si>
    <t>tř.Míru 447, 347 11 Tachov</t>
  </si>
  <si>
    <t>Muzeum Dr. Bohuslava Horáka v Rokycanech</t>
  </si>
  <si>
    <t>00368598</t>
  </si>
  <si>
    <t>nám. J. Urbana 141/1, 337 01 Rokycany</t>
  </si>
  <si>
    <t>Muzeum Chodska v Domažlicích</t>
  </si>
  <si>
    <t>00073873</t>
  </si>
  <si>
    <t>Chodské nám. 96, 344 01 Domažlice</t>
  </si>
  <si>
    <t>Muzeum jižního Plzeňska v Blovicích</t>
  </si>
  <si>
    <t>00075710</t>
  </si>
  <si>
    <t>zámek Hradiště č.1, 336 01 Blovice</t>
  </si>
  <si>
    <t>Muzeum Šumavy Sušice</t>
  </si>
  <si>
    <t>00075116</t>
  </si>
  <si>
    <t>Nám.Svobody 40, 342 01 Sušice</t>
  </si>
  <si>
    <t>Studijní a vědecká knihovna Plzeňského kraje</t>
  </si>
  <si>
    <t>00078077</t>
  </si>
  <si>
    <t>Smetanovy sady 2, 30548 Plzeň</t>
  </si>
  <si>
    <t>Vlastivědné muzeum Dr. Hostaše v Klatovech</t>
  </si>
  <si>
    <t>00075078</t>
  </si>
  <si>
    <t>Hostašova 1, 339 01 Klatovy</t>
  </si>
  <si>
    <t>Západočeská galerie v Plzni</t>
  </si>
  <si>
    <t>00263338</t>
  </si>
  <si>
    <t>Pražská 13, 301 50 Plzeň</t>
  </si>
  <si>
    <t>Západočeské muzeum v Plzni</t>
  </si>
  <si>
    <t>Kopeckého sady 2, 301 00 Plzeň</t>
  </si>
  <si>
    <t>Stálá divadelní scéna Klatovy</t>
  </si>
  <si>
    <t>00075094</t>
  </si>
  <si>
    <t>Denisova 148, 339 01 Klatovy 1</t>
  </si>
  <si>
    <t>Dopravní příspěvkové organizace</t>
  </si>
  <si>
    <t>Krajská SÚS Plzeňského kraje</t>
  </si>
  <si>
    <t>72053119</t>
  </si>
  <si>
    <t>Škroupova 18, Plzeň</t>
  </si>
  <si>
    <t>SÚS Domažlice</t>
  </si>
  <si>
    <t>00073679</t>
  </si>
  <si>
    <t>Sadová 324, Domažlice</t>
  </si>
  <si>
    <t>SÚS Klatovy</t>
  </si>
  <si>
    <t>00074870</t>
  </si>
  <si>
    <t>Za kasárny 324/IV, Klatovy</t>
  </si>
  <si>
    <t>SÚS Kralovice</t>
  </si>
  <si>
    <t>00075779</t>
  </si>
  <si>
    <t>Žatecká 732, Kralovice</t>
  </si>
  <si>
    <t>SÚS Rokycany</t>
  </si>
  <si>
    <t>00075957</t>
  </si>
  <si>
    <t>Roháčova 773, Rokycany</t>
  </si>
  <si>
    <t>SÚS Starý Plzenec</t>
  </si>
  <si>
    <t>00075477</t>
  </si>
  <si>
    <t>Riegrova 533, Starý Plzenec</t>
  </si>
  <si>
    <t>SÚS Stříbro</t>
  </si>
  <si>
    <t>00076520</t>
  </si>
  <si>
    <t>Soběslavova 1264, Stříbro</t>
  </si>
  <si>
    <t>Centrální nákup, přísp.org.</t>
  </si>
  <si>
    <t>Vejprnická 56, 31800 Plzeň</t>
  </si>
  <si>
    <r>
      <rPr>
        <b/>
        <u/>
        <sz val="10"/>
        <rFont val="Arial CE"/>
        <charset val="238"/>
      </rPr>
      <t>Poznámka</t>
    </r>
    <r>
      <rPr>
        <sz val="10"/>
        <rFont val="Arial"/>
        <family val="2"/>
        <charset val="238"/>
      </rPr>
      <t>:  Ztráty - 1,- tis. Kč u organizací Gymnázium Plasy a ZUŠ B. Smetany, Plzeň jsou způsobeny zaokrouhlením účetních výkazů na celé tisíce Kč. Ve skutečnosti organizace Gymnázium Plasy skončila s nulovým výsledkem hospodaření a ZUŠ B. Smetany se ziskem 160,- Kč.</t>
    </r>
  </si>
  <si>
    <t xml:space="preserve">                  </t>
  </si>
  <si>
    <t>Účelové prostředky ze státního rozpočtu poskytnuté prostřednictvím Plzeňského kraje na přímé náklady ve vzdělávání pro školy a školská zařízení zřizovaná obcemi - účelový znak 33353 (v tis. Kč)</t>
  </si>
  <si>
    <t>ORP</t>
  </si>
  <si>
    <t>ORP Blovice</t>
  </si>
  <si>
    <t>198 - ZŠ Blovice</t>
  </si>
  <si>
    <t>199 - MŠ Blovice</t>
  </si>
  <si>
    <t>200 - ZUŠ Blovice</t>
  </si>
  <si>
    <t>201 - DDM Blovice</t>
  </si>
  <si>
    <t>202 - ZŠ a MŠ Letiny</t>
  </si>
  <si>
    <t>203 - MŠ Chlum</t>
  </si>
  <si>
    <t>204 - ZŠ a MŠ Chocenice</t>
  </si>
  <si>
    <t>205 - MŠ Seč</t>
  </si>
  <si>
    <t>206 - ZŠ a MŠ Spálené Poříčí</t>
  </si>
  <si>
    <t>207 - MŠ Zdemyslice</t>
  </si>
  <si>
    <t>ORP Domažlice</t>
  </si>
  <si>
    <t>062 - ZŠ Komenského, Domažlice</t>
  </si>
  <si>
    <t>063 - ZŠ Msgre B. Staška, Domažlice</t>
  </si>
  <si>
    <t>064 - MŠ Zahradní, Domažlice</t>
  </si>
  <si>
    <t>065 - ZŠ praktická Domažlice</t>
  </si>
  <si>
    <t>066 - ZUŠ Domažlice</t>
  </si>
  <si>
    <t>067 - MŠ Babylon</t>
  </si>
  <si>
    <t>068 - ZŠ a MŠ Bělá nad Radbuzou</t>
  </si>
  <si>
    <t>069 - MŠ Brnířov</t>
  </si>
  <si>
    <t>070 - ZŠ Česká Kubice</t>
  </si>
  <si>
    <t>071 - MŠ Spálenec</t>
  </si>
  <si>
    <t>072 - ZŠ Hostouň</t>
  </si>
  <si>
    <t>073 - MŠ Hostouň</t>
  </si>
  <si>
    <t>074 - ZŠ Chodov</t>
  </si>
  <si>
    <t>075 - MŠ Chodská Lhota</t>
  </si>
  <si>
    <t>076 - Masarykova ZŠ, Kdyně</t>
  </si>
  <si>
    <t>077 - ZŠ a MŠ Prapořiště, Kdyně</t>
  </si>
  <si>
    <t>078 - MŠ Dělnická, Kdyně</t>
  </si>
  <si>
    <t>079 - MŠ Markova, Kdyně</t>
  </si>
  <si>
    <t>080 - ZUŠ Kdyně</t>
  </si>
  <si>
    <t>081 - Masarykova ZŠ a MŠ, Klenčí pod Čerchovem</t>
  </si>
  <si>
    <t>082 - ZŠ Koloveč</t>
  </si>
  <si>
    <t>083 - MŠ Koloveč</t>
  </si>
  <si>
    <t>084 - ZŠ Kout na Šumavě</t>
  </si>
  <si>
    <t>085 - MŠ Kout na Šumavě</t>
  </si>
  <si>
    <t>086 - MŠ Luženice</t>
  </si>
  <si>
    <t>087 - ZŠ a MŠ Milavče</t>
  </si>
  <si>
    <t>088 - ZŠ Mrákov</t>
  </si>
  <si>
    <t>089 - MŠ Mrákov</t>
  </si>
  <si>
    <t>090 - MŠ Nový Kramolín</t>
  </si>
  <si>
    <t>091 - MŠ Nová Pasečnice</t>
  </si>
  <si>
    <t>092 - ZŠ Poběžovice</t>
  </si>
  <si>
    <t>093 - MŠ Poběžovice</t>
  </si>
  <si>
    <t>094 - ZŠ a MŠ Pocinovice</t>
  </si>
  <si>
    <t>095 - ZŠ a MŠ Postřekov</t>
  </si>
  <si>
    <t>096 - MŠ Tlumačov</t>
  </si>
  <si>
    <t>097 - MŠ Trhanov</t>
  </si>
  <si>
    <t>098 - MŠ Úsilov</t>
  </si>
  <si>
    <t>099 - ZŠ Všeruby</t>
  </si>
  <si>
    <t>100 - MŠ Všeruby</t>
  </si>
  <si>
    <t>101 - MŠ Zahořany</t>
  </si>
  <si>
    <t>ORP Horažďovice</t>
  </si>
  <si>
    <t>001 - ZŠ Komenského, Horažďovice</t>
  </si>
  <si>
    <t>002 - ZŠ Blatenská, Horažďovice</t>
  </si>
  <si>
    <t>003 - Křesťanská MŠ Horažďovice</t>
  </si>
  <si>
    <t>004 - MŠ Horažďovice</t>
  </si>
  <si>
    <t>005 - MŠ Hradešice</t>
  </si>
  <si>
    <t>006 - ZŠ a MŠ Chanovice</t>
  </si>
  <si>
    <t>007 - Šafránkova ZŠ a MŠ Nalžovské Hory</t>
  </si>
  <si>
    <t>008 - ZŠ Pačejov</t>
  </si>
  <si>
    <t>009 - MŠ Pačejov</t>
  </si>
  <si>
    <t>010 - MŠ Svéradice</t>
  </si>
  <si>
    <t>ORP Horšovský Týn</t>
  </si>
  <si>
    <t>102 - ZŠ a MŠ Blížejov</t>
  </si>
  <si>
    <t>103 - ZŠ Hlohová</t>
  </si>
  <si>
    <t>104 - ZŠ Horšovský Týn</t>
  </si>
  <si>
    <t>105 - MŠ Horšovský Týn</t>
  </si>
  <si>
    <t>106 - ZUŠ Horšovský Týn</t>
  </si>
  <si>
    <t>107 - ZŠ a MŠ Meclov</t>
  </si>
  <si>
    <t>108 - MŠ Mezholezy</t>
  </si>
  <si>
    <t>109 - MŠ Miřkov</t>
  </si>
  <si>
    <t>110 - ZŠ a MŠ Osvračín</t>
  </si>
  <si>
    <t>111 - MŠ Puclice</t>
  </si>
  <si>
    <t>112 - ZŠ Semněvice</t>
  </si>
  <si>
    <t>114 - ZŠ Staňkov</t>
  </si>
  <si>
    <t>115 - MŠ Staňkov</t>
  </si>
  <si>
    <t>116 - ZUŠ Staňkov</t>
  </si>
  <si>
    <t>ORP Klatovy</t>
  </si>
  <si>
    <t>011 - ZŠ a MŠ Běšiny</t>
  </si>
  <si>
    <t>012 - ZŠ a MŠ Bezděkov</t>
  </si>
  <si>
    <t>013 - ZŠ a MŠ Bolešiny</t>
  </si>
  <si>
    <t>014 - ZŠ a MŠ Čachrov</t>
  </si>
  <si>
    <t>015 - ZŠ a MŠ Dešenice</t>
  </si>
  <si>
    <t>016 - MŠ Dlažov</t>
  </si>
  <si>
    <t>017 - ZŠ a MŠ Dolany</t>
  </si>
  <si>
    <t>018 - MŠ Chudenice</t>
  </si>
  <si>
    <t>019 - ZŠ a MŠ Chudenín</t>
  </si>
  <si>
    <t>020 - Masarykova ZŠ Janovice nad Úhlavou</t>
  </si>
  <si>
    <t>021 - MŠ Janovice nad Úhlavou</t>
  </si>
  <si>
    <t>022 - ZŠ Plánická, Klatovy</t>
  </si>
  <si>
    <t>023 - Masarykova ZŠ, Klatovy</t>
  </si>
  <si>
    <t>024 - ZŠ Čapkova, Klatovy</t>
  </si>
  <si>
    <t>025 - ZŠ Tolstého, Klatovy</t>
  </si>
  <si>
    <t>026 - MŠ Klatovy</t>
  </si>
  <si>
    <t>027 - ZŠ a MŠ Měčín</t>
  </si>
  <si>
    <t>028 - ZŠ a MŠ Mochtín</t>
  </si>
  <si>
    <t>029 - ZŠ Školní, Nýrsko</t>
  </si>
  <si>
    <t>030 - ZŠ a MŠ Komenského, Nýrsko</t>
  </si>
  <si>
    <t>031 - ZUŠ Nýrsko</t>
  </si>
  <si>
    <t>033 - ZŠ Dr. ing. Fr. Křižíka a MŠ Plánice</t>
  </si>
  <si>
    <t>034 - ZŠ a MŠ Předslav</t>
  </si>
  <si>
    <t>035 - ZŠ a MŠ Strážov</t>
  </si>
  <si>
    <t>036 - ZŠ a MŠ Švihov</t>
  </si>
  <si>
    <t>037 - ZŠ a MŠ Vrhaveč</t>
  </si>
  <si>
    <t>038 - ZŠ a MŠ Zavlekov</t>
  </si>
  <si>
    <t>039 - ZŠ a MŠ K. Klostermanna Železná Ruda</t>
  </si>
  <si>
    <t>ORP Kralovice</t>
  </si>
  <si>
    <t>226 - ZŠ a MŠ Bezvěrov</t>
  </si>
  <si>
    <t>227 - ZŠ Dobříč</t>
  </si>
  <si>
    <t>228 - ZŠ a MŠ Dolní Bělá</t>
  </si>
  <si>
    <t>229 - ZŠ a MŠ Chříč</t>
  </si>
  <si>
    <t>230 - ZŠ Kaznějov</t>
  </si>
  <si>
    <t>231 - MŠ sídliště, Kaznějov</t>
  </si>
  <si>
    <t>232 - MŠ Kaznějov u továrny</t>
  </si>
  <si>
    <t>233 - ZŠ a MŠ Kozojedy</t>
  </si>
  <si>
    <t>234/1 - ZŠ a MŠ dr. Eduarda Beneše Kožlany</t>
  </si>
  <si>
    <t>236 - ZŠ Kralovice</t>
  </si>
  <si>
    <t>237 - ZŠ praktická Kralovice</t>
  </si>
  <si>
    <t>238 - MŠ Kralovice</t>
  </si>
  <si>
    <t>239 - ZUŠ Kralovice</t>
  </si>
  <si>
    <t>240 - ZŠ Manětín</t>
  </si>
  <si>
    <t>240/1 - MŠ Manětín</t>
  </si>
  <si>
    <t>241 - ZŠ a MŠ Mladotice</t>
  </si>
  <si>
    <t>242 - ZŠ a MŠ Nečtiny</t>
  </si>
  <si>
    <t>243 - MŠ Obora</t>
  </si>
  <si>
    <t>244 - ZŠ Plasy</t>
  </si>
  <si>
    <t>245 - MŠ Plasy</t>
  </si>
  <si>
    <t>246 - ZUŠ Plasy</t>
  </si>
  <si>
    <t>247 - MŠ Rybnice</t>
  </si>
  <si>
    <t>248 - Masarykova ZŠ a MŠ Žihle</t>
  </si>
  <si>
    <t>ORP Nepomuk</t>
  </si>
  <si>
    <t>184 - MŠ Čížkov</t>
  </si>
  <si>
    <t>185 - ZŠ Kasejovice</t>
  </si>
  <si>
    <t>186 - MŠ Kasejovice</t>
  </si>
  <si>
    <t>187 - ZŠ Mileč</t>
  </si>
  <si>
    <t>188 - MŠ Starý Smolivec</t>
  </si>
  <si>
    <t>190 - MŠ Nekvasovy</t>
  </si>
  <si>
    <t>191 - ZŠ Nepomuk</t>
  </si>
  <si>
    <t>192 - MŠ Nepomuk</t>
  </si>
  <si>
    <t>193 - ZUŠ Nepomuk</t>
  </si>
  <si>
    <t>194 - MŠ Neurazy</t>
  </si>
  <si>
    <t>195 - ZŠ Vrčeň</t>
  </si>
  <si>
    <t>196 - MŠ Vrčeň</t>
  </si>
  <si>
    <t>197 - ZŠ a MŠ Žinkovy</t>
  </si>
  <si>
    <t>ORP Nýřany</t>
  </si>
  <si>
    <t>249 - ZŠ Blatnice</t>
  </si>
  <si>
    <t>250 - MŠ Druztová</t>
  </si>
  <si>
    <t>251 - ZŠ a MŠ Heřmanova Huť</t>
  </si>
  <si>
    <t>252 - Masarykova ZŠ Horní Bříza</t>
  </si>
  <si>
    <t>253 - 1. MŠ Horní Bříza - ves</t>
  </si>
  <si>
    <t>254 - 2. MŠ Horní Bříza - továrna</t>
  </si>
  <si>
    <t>255/1 ZŠ a MŠ Žichlice</t>
  </si>
  <si>
    <t>256 - ZŠ a MŠ Chotíkov</t>
  </si>
  <si>
    <t>257 - ZŠ a MŠ Kozolupy</t>
  </si>
  <si>
    <t>258/1 - ZŠ Ledce</t>
  </si>
  <si>
    <t>258/2 - MŠ Ledce</t>
  </si>
  <si>
    <t>259 - ZŠ a MŠ Líně</t>
  </si>
  <si>
    <t>260 - ZŠ Líšťany</t>
  </si>
  <si>
    <t>261 - ZŠ a MŠ Město Touškov</t>
  </si>
  <si>
    <t>262 - ZŠ a MŠ Nýřany</t>
  </si>
  <si>
    <t>263 - ZUŠ Nýřany</t>
  </si>
  <si>
    <t>264 - ZŠ a MŠ Pernarec</t>
  </si>
  <si>
    <t>265 - ZŠ a MŠ Pňovany</t>
  </si>
  <si>
    <t>266 - MŠ Rochlov</t>
  </si>
  <si>
    <t>267 - ZŠ a MŠ Tlučná</t>
  </si>
  <si>
    <t>268 - Integrovaná ZŠ a MŠ Trnová</t>
  </si>
  <si>
    <t>269 - ZŠ Třemošná</t>
  </si>
  <si>
    <t>270 - MŠ Třemošná</t>
  </si>
  <si>
    <t>271 - DDM Kamarád Třemošná</t>
  </si>
  <si>
    <t>272 - ZUŠ Třemošná</t>
  </si>
  <si>
    <t>273 - MŠ Úněšov</t>
  </si>
  <si>
    <t>274 - ZŠ a MŠ Úterý</t>
  </si>
  <si>
    <t>275 - ZŠ a MŠ Vejprnice</t>
  </si>
  <si>
    <t>276 - MŠ Vochov</t>
  </si>
  <si>
    <t>277 - ZŠ a MŠ Všeruby</t>
  </si>
  <si>
    <t>278 - ZŠ Zbůch</t>
  </si>
  <si>
    <t>279 - MŠ POHÁDKA Zbůch</t>
  </si>
  <si>
    <t>280 - Masarykova ZŠ Zruč - Senec</t>
  </si>
  <si>
    <t>281 - MŠ Zruč - Senec</t>
  </si>
  <si>
    <t>282 - MŠ Žilov</t>
  </si>
  <si>
    <t>255 - ZŠ Žichlice</t>
  </si>
  <si>
    <t>ORP Plzeň</t>
  </si>
  <si>
    <t>315 - 1. ZŠ Západní, Plzeň</t>
  </si>
  <si>
    <t>316 - 2. ZŠ Schwarzova, Plzeň</t>
  </si>
  <si>
    <t>318 - 4. ZŠ Kralovická, Plzeň</t>
  </si>
  <si>
    <t>319 - 7. ZŠ a MŠ Brněnská, Plzeň</t>
  </si>
  <si>
    <t>320 - Benešova ZŠ a MŠ, Plzeň</t>
  </si>
  <si>
    <t>321 - 10. ZŠ nám. Míru, Plzeň</t>
  </si>
  <si>
    <t>322 - 11. ZŠ Baarova, Plzeň</t>
  </si>
  <si>
    <t>323 - Masarykova ZŠ, Plzeň</t>
  </si>
  <si>
    <t>324 - 13. ZŠ Habrmannova, Plzeň</t>
  </si>
  <si>
    <t>325 - 14. ZŠ Zábělská, Plzeň</t>
  </si>
  <si>
    <t>326 - 15. ZŠ T. Brzkové, Plzeň</t>
  </si>
  <si>
    <t>327 - 17. ZŠ a MŠ Malická, Plzeň</t>
  </si>
  <si>
    <t>328 - Bolevecká ZŠ, Plzeň</t>
  </si>
  <si>
    <t>329 - 16. ZŠ a MŠ Americká tř., Plzeň</t>
  </si>
  <si>
    <t>330 - 20. ZŠ Brojova, Plzeň</t>
  </si>
  <si>
    <t>331 - 21. ZŠ Slovanská alej, Plzeň</t>
  </si>
  <si>
    <t>332 - 22. ZŠ Na Dlouhých, Plzeň</t>
  </si>
  <si>
    <t>333 - 25. ZŠ Chválenická, Plzeň</t>
  </si>
  <si>
    <t>334 - 26. ZŠ Skupova, Plzeň</t>
  </si>
  <si>
    <t>335 - 28. ZŠ Rodinná, Plzeň</t>
  </si>
  <si>
    <t>336 - 31. ZŠ E. Krásnohorské, Plzeň</t>
  </si>
  <si>
    <t>337 - 33. ZŠ T. Brzkové, Plzeň</t>
  </si>
  <si>
    <t>338 - 34. ZŠ Gerská, Plzeň</t>
  </si>
  <si>
    <t>339 - ZŠ a MŠ Plzeň-Božkov</t>
  </si>
  <si>
    <t>340 - Tyršova ZŠ a MŠ, Plzeň</t>
  </si>
  <si>
    <t>341 - ZŠ Plzeň - Újezd</t>
  </si>
  <si>
    <t>342 - 10. ŠJ nám. Míru, Plzeň</t>
  </si>
  <si>
    <t>343 - 11. ŠJ Baarova, Plzeň</t>
  </si>
  <si>
    <t>344 - 2. MŠ U Hvězdárny, Plzeň</t>
  </si>
  <si>
    <t>345 - 5. MŠ Zelenohorská, Plzeň</t>
  </si>
  <si>
    <t>346 - 6. MŠ Republikánská, Plzeň</t>
  </si>
  <si>
    <t>347 - 7. MŠ Kralovická, Plzeň</t>
  </si>
  <si>
    <t>348 - 16. MŠ Korandova, Plzeň</t>
  </si>
  <si>
    <t>349 - 17. MŠ Čapkovo nám., Plzeň</t>
  </si>
  <si>
    <t>350 - 21. MŠ Na Celchu, Plzeň</t>
  </si>
  <si>
    <t>351 - 22. MŠ Z. Wintra, Plzeň</t>
  </si>
  <si>
    <t>352 - 23. MŠ Topolová, Plzeň</t>
  </si>
  <si>
    <t>353 - 24. MŠ Schwarzova, Plzeň</t>
  </si>
  <si>
    <t>354 - 25. MŠ Ruská, Plzeň</t>
  </si>
  <si>
    <t>355 - 27. MŠ Dvořákova, Plzeň</t>
  </si>
  <si>
    <t>356 - 29. MŠ Lidická, Plzeň</t>
  </si>
  <si>
    <t>357 - 31. MŠ Spojovací 7, Plzeň</t>
  </si>
  <si>
    <t>358 - 32. MŠ Resslova, Plzeň</t>
  </si>
  <si>
    <t>359 - 33. MŠ Kyšická, Plzeň</t>
  </si>
  <si>
    <t>361 - 37. MŠ Barvínkova, Plzeň</t>
  </si>
  <si>
    <t>362 - 38. MŠ Spojovací 14, Plzeň</t>
  </si>
  <si>
    <t>363 - 44. MŠ Tomanova, Plzeň</t>
  </si>
  <si>
    <t>364 - 46. MŠ Fibichova, Plzeň</t>
  </si>
  <si>
    <t>365 - 49. MŠ Puškinova, Plzeň</t>
  </si>
  <si>
    <t>366 - 50. MŠ Družby, Plzeň</t>
  </si>
  <si>
    <t>367 - 51. MŠ Částkova, Plzeň</t>
  </si>
  <si>
    <t>368 - 54. MŠ Staniční, Plzeň</t>
  </si>
  <si>
    <t>369 - 55. MŠ Mandlova, Plzeň</t>
  </si>
  <si>
    <t>370 - 56. MŠ Budilovo nám., Plzeň</t>
  </si>
  <si>
    <t>371 - 57. MŠ Nad Dalmatinkou, Plzeň</t>
  </si>
  <si>
    <t>372 - 60. MŠ Manětínská, Plzeň</t>
  </si>
  <si>
    <t>373 - 61. MŠ Nade Mží, Plzeň</t>
  </si>
  <si>
    <t>374 - 63. MŠ Lábkova, Plzeň</t>
  </si>
  <si>
    <t>375 - 64. MŠ Pod Chlumem, Plzeň</t>
  </si>
  <si>
    <t>376 - 70. MŠ Waltrova, Plzeň</t>
  </si>
  <si>
    <t>377 - 78. MŠ Sokolovská, Plzeň</t>
  </si>
  <si>
    <t>378 - 80. MŠ Mikulášské nám., Plzeň</t>
  </si>
  <si>
    <t>379 - 81. MŠ Hodonínská, Plzeň</t>
  </si>
  <si>
    <t>381 - 87. MŠ Komenského, Plzeň</t>
  </si>
  <si>
    <t>382 - 89. MŠ Habrová, Plzeň</t>
  </si>
  <si>
    <t>383 - 90. MŠ Západní, Plzeň</t>
  </si>
  <si>
    <t>384 - 91. MŠ Jesenická, Plzeň</t>
  </si>
  <si>
    <t>ORP Přeštice</t>
  </si>
  <si>
    <t>165 - MŠ Borovy</t>
  </si>
  <si>
    <t>166 - ZŠ a MŠ Dolní Lukavice</t>
  </si>
  <si>
    <t>167 - ZŠ a MŠ Horšice</t>
  </si>
  <si>
    <t>168 - ZŠ Chlumčany</t>
  </si>
  <si>
    <t>169 - MŠ Chlumčany</t>
  </si>
  <si>
    <t>170 - ZŠ a MŠ Lužany</t>
  </si>
  <si>
    <t>171 - ZŠ Merklín</t>
  </si>
  <si>
    <t>172 - MŠ Merklín</t>
  </si>
  <si>
    <t>173 - MŠ Oplot</t>
  </si>
  <si>
    <t>174 - ZŠ Přeštice</t>
  </si>
  <si>
    <t>175 - MŠ Dukelská, Přeštice</t>
  </si>
  <si>
    <t>176 - MŠ Gagarinova, Přeštice</t>
  </si>
  <si>
    <t>177 - ZŠ a MŠ Skočice</t>
  </si>
  <si>
    <t>178 - ZUŠ Přeštice</t>
  </si>
  <si>
    <t>179 - DDM Přeštice</t>
  </si>
  <si>
    <t>180 - MŠ Příchovice</t>
  </si>
  <si>
    <t>181 - ZŠ Řenče</t>
  </si>
  <si>
    <t>182 - ZŠ Štěnovice</t>
  </si>
  <si>
    <t>183 - MŠ Štěnovice</t>
  </si>
  <si>
    <t>ORP Rokycany</t>
  </si>
  <si>
    <t>283 - ZŠ a MŠ Stupno</t>
  </si>
  <si>
    <t>284 - ZŠ Dobřív</t>
  </si>
  <si>
    <t>285 - EKO MŠ Dobřív</t>
  </si>
  <si>
    <t>286 - ZŠ a MŠ Ejpovice</t>
  </si>
  <si>
    <t>287 - ZŠ a MŠ Holoubkov</t>
  </si>
  <si>
    <t>288 - ZŠ a MŠ Hrádek</t>
  </si>
  <si>
    <t>289 - ZŠ a MŠ Cheznovice</t>
  </si>
  <si>
    <t>290 - ZŠ a MŠ Kařez</t>
  </si>
  <si>
    <t>291 - MŠ Litohlavy</t>
  </si>
  <si>
    <t>292 - ZŠ a MŠ Mirošov</t>
  </si>
  <si>
    <t>293 - ZŠ a MŠ Mlečice</t>
  </si>
  <si>
    <t>294 - ZŠ Mýto</t>
  </si>
  <si>
    <t>295 - MŠ Sluníčko Mýto</t>
  </si>
  <si>
    <t>296 - ZŠ a MŠ Osek</t>
  </si>
  <si>
    <t>297 - MŠ Příkosice</t>
  </si>
  <si>
    <t>298 - ZŠ Radnice</t>
  </si>
  <si>
    <t>299 - MŠ Radnice</t>
  </si>
  <si>
    <t>300 - ZŠ T. G. Masaryka, Rokycany</t>
  </si>
  <si>
    <t>301 - ZŠ ul. Míru, Rokycany</t>
  </si>
  <si>
    <t>302 - ZŠ Čechova, Rokycany</t>
  </si>
  <si>
    <t>303 - MŠ Školní, Rokycany</t>
  </si>
  <si>
    <t>304 - MŠ U Saské brány, Rokycany</t>
  </si>
  <si>
    <t>305 - ŠJ T. G. M., Rokycany</t>
  </si>
  <si>
    <t>306 - ŠJ Čechova, Rokycany</t>
  </si>
  <si>
    <t>307 - ZŠ Karla Vokáče Strašice</t>
  </si>
  <si>
    <t>308 - MŠ Strašice</t>
  </si>
  <si>
    <t>309 - ZŠ Veselá</t>
  </si>
  <si>
    <t>310 - ZŠ a MŠ Volduchy</t>
  </si>
  <si>
    <t>311 - ZŠ Zbiroh</t>
  </si>
  <si>
    <t>312 - MŠ Zbiroh</t>
  </si>
  <si>
    <t>313 - ZUŠ Zbiroh</t>
  </si>
  <si>
    <t>ORP Stod</t>
  </si>
  <si>
    <t>208 - MŠ Dnešice</t>
  </si>
  <si>
    <t>209 - ZŠ Tř. 1. Máje, Dobřany</t>
  </si>
  <si>
    <t>210 - MŠ Loudů, Dobřany</t>
  </si>
  <si>
    <t>211 - MŠ Stromořadí, Dobřany</t>
  </si>
  <si>
    <t>212 - ZUŠ J.Š.Bacha Dobřany</t>
  </si>
  <si>
    <t>213 - ZŠ Holýšov</t>
  </si>
  <si>
    <t>214 - MŠ Holýšov</t>
  </si>
  <si>
    <t>215 - ZUŠ Holýšov</t>
  </si>
  <si>
    <t>216 - ZŠ a MŠ Hradec</t>
  </si>
  <si>
    <t>218 - ZŠ Chotěšov</t>
  </si>
  <si>
    <t>219 - MŠ Chotěšov</t>
  </si>
  <si>
    <t>220 - ZŠ a MŠ Stod</t>
  </si>
  <si>
    <t>221 - ZUŠ Stod</t>
  </si>
  <si>
    <t>222 - DDM Stod</t>
  </si>
  <si>
    <t>ORP Stříbro</t>
  </si>
  <si>
    <t>149 - ZŠ, MŠ a ZUŠ Bezdružice</t>
  </si>
  <si>
    <t>151 - ZŠ Černošín</t>
  </si>
  <si>
    <t>152 - MŠ Černošín</t>
  </si>
  <si>
    <t>153 - MŠ Erpužice</t>
  </si>
  <si>
    <t>154 - ZŠ Kladruby</t>
  </si>
  <si>
    <t>155 - MŠ Kladruby</t>
  </si>
  <si>
    <t>156 - ZŠ Konstantinovy Lázně</t>
  </si>
  <si>
    <t>157 - MŠ Konstantinovy Lázně</t>
  </si>
  <si>
    <t>158 - MŠ Kostelec</t>
  </si>
  <si>
    <t>159 - ZŠ Mánesova, Stříbro</t>
  </si>
  <si>
    <t>160 - ZŠ Gagarinova, Stříbro</t>
  </si>
  <si>
    <t>161 - MŠ Stříbro</t>
  </si>
  <si>
    <t>162 - DDM Stříbro</t>
  </si>
  <si>
    <t>163 - ZŠ a MŠ Svojšín</t>
  </si>
  <si>
    <t>164 - ZŠ a MŠ Záchlumí</t>
  </si>
  <si>
    <t>164/1 - ZUŠ Stříbro</t>
  </si>
  <si>
    <t>ORP Sušice</t>
  </si>
  <si>
    <t>040 - ZŠ a MŠ Dlouhá Ves</t>
  </si>
  <si>
    <t>041 - ZŠ a MŠ Hartmanice</t>
  </si>
  <si>
    <t>042 - ZŠ a MŠ Hlavňovice</t>
  </si>
  <si>
    <t>043 - ZŠ Hrádek u Sušice</t>
  </si>
  <si>
    <t>044 - MŠ Hrádek u Sušice</t>
  </si>
  <si>
    <t>045 - ZŠ, ZUŠ a MŠ Kašperské Hory</t>
  </si>
  <si>
    <t>046 - ZŠ a MŠ Kolinec</t>
  </si>
  <si>
    <t>048 - MŠ Rabí</t>
  </si>
  <si>
    <t>049 - ZŠ a MŠ Srní</t>
  </si>
  <si>
    <t>050 - ZŠ Komenského, Sušice</t>
  </si>
  <si>
    <t>051 - ZŠ Lerchova, Sušice</t>
  </si>
  <si>
    <t>052 - ZŠ T. G. Masaryka, Sušice</t>
  </si>
  <si>
    <t>053 - MŠ Smetanova, Sušice</t>
  </si>
  <si>
    <t>054 - MŠ Tylova, Sušice</t>
  </si>
  <si>
    <t>055 - ŠJ Sušice</t>
  </si>
  <si>
    <t>056 - ZŠ a MŠ Velhartice</t>
  </si>
  <si>
    <t>057 - ZŠ a MŠ Žihobce</t>
  </si>
  <si>
    <t>058 - ZŠ Žichovice</t>
  </si>
  <si>
    <t>059 - MŠ Žichovice</t>
  </si>
  <si>
    <t>ORP Tachov</t>
  </si>
  <si>
    <t>117 - ZŠ Bor</t>
  </si>
  <si>
    <t>118 - MŠ Bor</t>
  </si>
  <si>
    <t>120 - ZŠ a MŠ Halže</t>
  </si>
  <si>
    <t>121 - ZŠ a MŠ Hošťka</t>
  </si>
  <si>
    <t>122 - ZŠ a MŠ Chodová Planá</t>
  </si>
  <si>
    <t>123 - MŠ Chodský Újezd</t>
  </si>
  <si>
    <t>124 - ZŠ a MŠ Lesná</t>
  </si>
  <si>
    <t>126 - MŠ Lom u Tachova</t>
  </si>
  <si>
    <t>127 - ZŠ Na Valech, Planá</t>
  </si>
  <si>
    <t>128 - ZŠ nám. Svobody, Planá</t>
  </si>
  <si>
    <t>129 - MŠ Havlíčkova, Planá</t>
  </si>
  <si>
    <t>131 - ZŠ Přimda</t>
  </si>
  <si>
    <t>132 - MŠ Přimda</t>
  </si>
  <si>
    <t>133 - ZŠ Rozvadov</t>
  </si>
  <si>
    <t>134 - MŠ Rozvadov</t>
  </si>
  <si>
    <t>135 - MŠ Staré Sedlo</t>
  </si>
  <si>
    <t>136 - ZŠ a MŠ Staré Sedliště</t>
  </si>
  <si>
    <t>137 - ZŠ Stráž</t>
  </si>
  <si>
    <t>138 - MŠ Stráž</t>
  </si>
  <si>
    <t>139 - MŠ Studánka</t>
  </si>
  <si>
    <t>140 - ZŠ Hornická, Tachov</t>
  </si>
  <si>
    <t>141 - ZŠ Kostelní, Tachov</t>
  </si>
  <si>
    <t>142 - ZŠ Zárečná, Tachov</t>
  </si>
  <si>
    <t>143 - MŠ Pošumavská, Tachov</t>
  </si>
  <si>
    <t>144 - MŠ Prokopa Velikého, Tachov</t>
  </si>
  <si>
    <t>145 - MŠ Sadová, Tachov</t>
  </si>
  <si>
    <t>146 - MŠ Stadtrodská, Tachov</t>
  </si>
  <si>
    <t>147 - MŠ Tyršova, Tachov</t>
  </si>
  <si>
    <t>148 - MŠ Tisová</t>
  </si>
  <si>
    <t>ORP obce Magistrátu</t>
  </si>
  <si>
    <t>389/1 - ZŠ generála Pattona Dýšina</t>
  </si>
  <si>
    <t xml:space="preserve">389/2 - MŠ Dýšina </t>
  </si>
  <si>
    <t>390 - ZŠ Chrást</t>
  </si>
  <si>
    <t>391 - ZUŠ Chrást</t>
  </si>
  <si>
    <t>392 - MŠ Chrást</t>
  </si>
  <si>
    <t>393 - ZŠ a MŠ Chválenice</t>
  </si>
  <si>
    <t>394 - MŠ Kyšice</t>
  </si>
  <si>
    <t>395 - MŠ Losiná</t>
  </si>
  <si>
    <t>396 - MŠ Nezvěstice</t>
  </si>
  <si>
    <t>397 - ZŠ Nezvěstice</t>
  </si>
  <si>
    <t>398 - MŠ Starý Plzenec</t>
  </si>
  <si>
    <t>399 - ZŠ Masarykovo nám., Starý Plzenec</t>
  </si>
  <si>
    <t>400 - ZŠ a MŠ Starý Plzenec - Sedlec</t>
  </si>
  <si>
    <t>401 - ZUŠ Starý Plzenec</t>
  </si>
  <si>
    <t>402 - MŠ Šťáhlavy</t>
  </si>
  <si>
    <t>403 - ZŠ Šťáhlavy</t>
  </si>
  <si>
    <t>404 - MŠ Tymákov</t>
  </si>
  <si>
    <t>405 - ZŠ Tymákov</t>
  </si>
  <si>
    <t xml:space="preserve">Celkem </t>
  </si>
  <si>
    <t>Účelové prostředky poskytnuté prostřednictvím Plzeňského kraje školským organizacím zřizovaných obcemi</t>
  </si>
  <si>
    <t>(bez přímých výdajů na školství - UZ 33353) - dle jednotlivých obcí s rozšířenou působností (v tis. Kč)</t>
  </si>
  <si>
    <t>255 - ZŠ Žichlice (k 30.6.2010 zrušena)</t>
  </si>
  <si>
    <t>33024</t>
  </si>
  <si>
    <t>Rozvojový program MŠMT pro děti-cizince ze 3. zemí</t>
  </si>
  <si>
    <t>33018</t>
  </si>
  <si>
    <t>Rozvojový program na podporu škol, které realizují inkluzivní vzdělávání a vzdělávání dětí se sociokulturním znevýhodněním</t>
  </si>
  <si>
    <t>Bezplatná příprava dětí azylantů, účastníků řízení o azyl                            a dětí osob se státní příslušností jiného členského státu EU                       k začlenění do základního vzdělávání</t>
  </si>
  <si>
    <t>225 - MŠ Kvíčovice</t>
  </si>
  <si>
    <t>Ostatní účelové dotace obcím Plzeňského kraje poskytnuté prostřednictvím kraje (v tis. Kč, nezahrnuje dotace účtované dle metodiky MF kompenzačně)</t>
  </si>
  <si>
    <t>Okres</t>
  </si>
  <si>
    <t>Obec</t>
  </si>
  <si>
    <t>Holýšov</t>
  </si>
  <si>
    <t>Poběžovice</t>
  </si>
  <si>
    <t>Staňkov</t>
  </si>
  <si>
    <t>Okres Domažlice celkem</t>
  </si>
  <si>
    <t>Hartmanice</t>
  </si>
  <si>
    <t>Měčín</t>
  </si>
  <si>
    <t>Nýrsko</t>
  </si>
  <si>
    <t>Švihov</t>
  </si>
  <si>
    <t>Okres Klatovy celkem</t>
  </si>
  <si>
    <t>Chotěšov</t>
  </si>
  <si>
    <t>Kasejovice</t>
  </si>
  <si>
    <t>Okres Plzeň-jih celkem</t>
  </si>
  <si>
    <t>Plzeň-město</t>
  </si>
  <si>
    <t>Plzeň</t>
  </si>
  <si>
    <t>Tymákov</t>
  </si>
  <si>
    <t>Okres Plzeň-město celkem</t>
  </si>
  <si>
    <t>Horní Bříza</t>
  </si>
  <si>
    <t>Kaznějov</t>
  </si>
  <si>
    <t>Kralovice</t>
  </si>
  <si>
    <t>Plasy</t>
  </si>
  <si>
    <t>Třemošná</t>
  </si>
  <si>
    <t>Okres Plzeň-sever celkem</t>
  </si>
  <si>
    <t>Osek</t>
  </si>
  <si>
    <t>Strašice</t>
  </si>
  <si>
    <t>Okres Rokycany celkem</t>
  </si>
  <si>
    <t>Bor</t>
  </si>
  <si>
    <t>Černošín</t>
  </si>
  <si>
    <t>Okres Tachov celkem</t>
  </si>
  <si>
    <t>Celkový souhrn</t>
  </si>
  <si>
    <t>Ministerstvo práce a sociálních věcí</t>
  </si>
  <si>
    <t>Ministerstvo školství, mládeže a tělovýchovy</t>
  </si>
  <si>
    <t>Dotace obcím Plzeňského kraje z rozpočtu kraje - bez účelového znaku (v tis. Kč)</t>
  </si>
  <si>
    <t>Blížejov</t>
  </si>
  <si>
    <t xml:space="preserve">2010 Program stabilizace a obnovy venkova PK </t>
  </si>
  <si>
    <t xml:space="preserve">2010 Regionální rozvoj - ostatní dotace </t>
  </si>
  <si>
    <t>Bukovec</t>
  </si>
  <si>
    <t>2010 Finanční příspěvky na hospodaření v lesích</t>
  </si>
  <si>
    <t>Bělá nad Radbuzou</t>
  </si>
  <si>
    <t xml:space="preserve">2010 Podpora mezinárodní spolupráce v oblasti mládeže a spolufinancování mezinárodních studijních programů </t>
  </si>
  <si>
    <t>Chodov</t>
  </si>
  <si>
    <t xml:space="preserve">2010 Grantový program Plzeňského kraje v oblasti kultury </t>
  </si>
  <si>
    <t xml:space="preserve">2010 Program pro oblast ochrany vod a zásobování pitnou vodou  </t>
  </si>
  <si>
    <t>Chodská Lhota</t>
  </si>
  <si>
    <t>Chrastavice</t>
  </si>
  <si>
    <t>2010 Dotace v oblasti Bezpečný kraj</t>
  </si>
  <si>
    <t xml:space="preserve">2010 Krizové řízení a IZS - ostatní dotace </t>
  </si>
  <si>
    <t xml:space="preserve">2010 Podpora činnosti informačních center na území Plzeňského kraje  </t>
  </si>
  <si>
    <t>2010 Program podpory sociálních služeb v PK - Pečovatelská služba poskytovaná obcemi</t>
  </si>
  <si>
    <t xml:space="preserve">2010 Výkon regionálních funkcí knihoven v PK </t>
  </si>
  <si>
    <t xml:space="preserve">2010 Výstavba víceúčelových hřišť s umělým povrchem a rekonstrukce povrchů tělocvičen a sportovních hal v Plzeňském kraji </t>
  </si>
  <si>
    <t>Draženov</t>
  </si>
  <si>
    <t>Díly</t>
  </si>
  <si>
    <t xml:space="preserve">2010 Dotace na ekologické projekty </t>
  </si>
  <si>
    <t>Hlohová</t>
  </si>
  <si>
    <t>Hora Svatého Václava</t>
  </si>
  <si>
    <t>Horní Kamenice</t>
  </si>
  <si>
    <t>Horšovský Týn</t>
  </si>
  <si>
    <t xml:space="preserve">2010 Program podpory neinvestičních projektů prevence kriminality obcí  </t>
  </si>
  <si>
    <t xml:space="preserve">2010 Zachování a obnova kulturních památek Plzeňského kraje </t>
  </si>
  <si>
    <t>Hostouň</t>
  </si>
  <si>
    <t xml:space="preserve">2010 Program podpory rozvoje venkovského cestovního ruchu v PK </t>
  </si>
  <si>
    <t>Houstoň</t>
  </si>
  <si>
    <t>Hradiště</t>
  </si>
  <si>
    <t>Kanice</t>
  </si>
  <si>
    <t>Kdyně</t>
  </si>
  <si>
    <t xml:space="preserve">2010 Podpora preventivních aktivit a výchovy k toleranci </t>
  </si>
  <si>
    <t>Klenčí pod Čerchovem</t>
  </si>
  <si>
    <t>2010 - Sociální věci - ostatní dotace</t>
  </si>
  <si>
    <t>Koloveč</t>
  </si>
  <si>
    <t xml:space="preserve">2010 Vesnice roku PK  </t>
  </si>
  <si>
    <t>Kout na Šumavě</t>
  </si>
  <si>
    <t>Kvíčovice</t>
  </si>
  <si>
    <t>Libkov</t>
  </si>
  <si>
    <t>Luženičky</t>
  </si>
  <si>
    <t xml:space="preserve">2010 Obnova historického stavebního fondu v památkových rezervacích a zónách a staveb drobné architektury na území Plzeňského kraje </t>
  </si>
  <si>
    <t>Mezholezy (DO)</t>
  </si>
  <si>
    <t>Mezholezy (HT)</t>
  </si>
  <si>
    <t>Milavče</t>
  </si>
  <si>
    <t>Močerady</t>
  </si>
  <si>
    <t>Mrákov</t>
  </si>
  <si>
    <t>Mířkov</t>
  </si>
  <si>
    <t>Nemanice</t>
  </si>
  <si>
    <t>Neuměř</t>
  </si>
  <si>
    <t>Nová Ves</t>
  </si>
  <si>
    <t>Nový Kramolín</t>
  </si>
  <si>
    <t>Němčice</t>
  </si>
  <si>
    <t>Osvračín</t>
  </si>
  <si>
    <t>Otov</t>
  </si>
  <si>
    <t>Pasečnice</t>
  </si>
  <si>
    <t>Pelechy</t>
  </si>
  <si>
    <t>Pocinovice</t>
  </si>
  <si>
    <t>Poděvousy</t>
  </si>
  <si>
    <t>Postřekov</t>
  </si>
  <si>
    <t>Puclice</t>
  </si>
  <si>
    <t>Rybník</t>
  </si>
  <si>
    <t>Semněvice</t>
  </si>
  <si>
    <t>Srbice</t>
  </si>
  <si>
    <t>Srby</t>
  </si>
  <si>
    <t>Stráž</t>
  </si>
  <si>
    <t>Trhanov</t>
  </si>
  <si>
    <t>Velký Malahov</t>
  </si>
  <si>
    <t>Všekary</t>
  </si>
  <si>
    <t>Všeruby</t>
  </si>
  <si>
    <t>Štichov</t>
  </si>
  <si>
    <t>Ždánov</t>
  </si>
  <si>
    <t>Čermná</t>
  </si>
  <si>
    <t>Černovice</t>
  </si>
  <si>
    <t>Česká Kubice</t>
  </si>
  <si>
    <t>Čečovice</t>
  </si>
  <si>
    <t>Újezd</t>
  </si>
  <si>
    <t>Úsilov</t>
  </si>
  <si>
    <t>Bezděkov</t>
  </si>
  <si>
    <t>Bolešiny</t>
  </si>
  <si>
    <t>Budětice</t>
  </si>
  <si>
    <t>Bukovník</t>
  </si>
  <si>
    <t>Běhařov</t>
  </si>
  <si>
    <t>Běšiny</t>
  </si>
  <si>
    <t>Břežany</t>
  </si>
  <si>
    <t>Chanovice</t>
  </si>
  <si>
    <t>Chlistov</t>
  </si>
  <si>
    <t>Chudenice</t>
  </si>
  <si>
    <t>Dešenice</t>
  </si>
  <si>
    <t>Dlažov</t>
  </si>
  <si>
    <t>Dlouhá Ves</t>
  </si>
  <si>
    <t>Dobršín</t>
  </si>
  <si>
    <t>Dolany</t>
  </si>
  <si>
    <t>Dražovice</t>
  </si>
  <si>
    <t>Hamry</t>
  </si>
  <si>
    <t>Hlavňovice</t>
  </si>
  <si>
    <t>Horažďovice</t>
  </si>
  <si>
    <t>Hradešice</t>
  </si>
  <si>
    <t>Hrádek</t>
  </si>
  <si>
    <t>Janovice nad Úhlavou</t>
  </si>
  <si>
    <t>Javor</t>
  </si>
  <si>
    <t>Ježovy</t>
  </si>
  <si>
    <t>Kašperské Hory</t>
  </si>
  <si>
    <t>Klenová</t>
  </si>
  <si>
    <t>Kolinec</t>
  </si>
  <si>
    <t>Kvášňovice</t>
  </si>
  <si>
    <t>Křenice</t>
  </si>
  <si>
    <t>Lomec</t>
  </si>
  <si>
    <t>Malý Bor</t>
  </si>
  <si>
    <t>Maňovice</t>
  </si>
  <si>
    <t>Mezihoří</t>
  </si>
  <si>
    <t>Mochtín</t>
  </si>
  <si>
    <t>Mokrosuky</t>
  </si>
  <si>
    <t>Myslív</t>
  </si>
  <si>
    <t>Nalžovské Hory</t>
  </si>
  <si>
    <t>Nehodiv</t>
  </si>
  <si>
    <t>Nezamyslice</t>
  </si>
  <si>
    <t>Nezdice na Šumavě</t>
  </si>
  <si>
    <t xml:space="preserve">2010 Program podpory sociálních služeb v PK </t>
  </si>
  <si>
    <t>Olšany</t>
  </si>
  <si>
    <t>Pačejov</t>
  </si>
  <si>
    <t>Petrovice u Sušice</t>
  </si>
  <si>
    <t>Plánice</t>
  </si>
  <si>
    <t>Poleň</t>
  </si>
  <si>
    <t>Předslav</t>
  </si>
  <si>
    <t>Rabí</t>
  </si>
  <si>
    <t>Slatina</t>
  </si>
  <si>
    <t>Soběšice</t>
  </si>
  <si>
    <t>Srní</t>
  </si>
  <si>
    <t>Strašín</t>
  </si>
  <si>
    <t>Strážov</t>
  </si>
  <si>
    <t xml:space="preserve">2010 Kluby otevřených dveří pro neorganizované děti a mládež </t>
  </si>
  <si>
    <t>Sušice</t>
  </si>
  <si>
    <t>Týnec</t>
  </si>
  <si>
    <t>Velhartice</t>
  </si>
  <si>
    <t>Velké Hydčice</t>
  </si>
  <si>
    <t>Velký Bor</t>
  </si>
  <si>
    <t>Vrhaveč</t>
  </si>
  <si>
    <t>Zavlekov</t>
  </si>
  <si>
    <t>Železná Ruda</t>
  </si>
  <si>
    <t>Žichovice</t>
  </si>
  <si>
    <t>Žihobce</t>
  </si>
  <si>
    <t>Čachrov</t>
  </si>
  <si>
    <t>Černíkov</t>
  </si>
  <si>
    <t>Červené Poříčí</t>
  </si>
  <si>
    <t>Číhaň</t>
  </si>
  <si>
    <t>Újezd u Plánice</t>
  </si>
  <si>
    <t>Plzeň - jih</t>
  </si>
  <si>
    <t>Blovice</t>
  </si>
  <si>
    <t xml:space="preserve">2010 Podpora tělovýchovy a sportu v Plzeňském kraji </t>
  </si>
  <si>
    <t xml:space="preserve">2010 V přírodě s přírodou </t>
  </si>
  <si>
    <t>Borovno</t>
  </si>
  <si>
    <t>Borovy</t>
  </si>
  <si>
    <t>Buková</t>
  </si>
  <si>
    <t>Chlum</t>
  </si>
  <si>
    <t>Chlumčany</t>
  </si>
  <si>
    <t>Chocenice</t>
  </si>
  <si>
    <t>Dnešice</t>
  </si>
  <si>
    <t>Dobřany</t>
  </si>
  <si>
    <t>2010 Kultura - ostatní dotace</t>
  </si>
  <si>
    <t>Dolní Lukavice</t>
  </si>
  <si>
    <t>Honezovice</t>
  </si>
  <si>
    <t>Horní Lukavice</t>
  </si>
  <si>
    <t>Hradec</t>
  </si>
  <si>
    <t>Jarov</t>
  </si>
  <si>
    <t>2010 Program podpory projektů mateřských a rodičovských center v PK</t>
  </si>
  <si>
    <t>Kbel</t>
  </si>
  <si>
    <t>Kotovice</t>
  </si>
  <si>
    <t>Kozlovice</t>
  </si>
  <si>
    <t>Kramolín</t>
  </si>
  <si>
    <t>Lisov</t>
  </si>
  <si>
    <t>Lužany</t>
  </si>
  <si>
    <t>Líšina</t>
  </si>
  <si>
    <t>Merklín</t>
  </si>
  <si>
    <t>Mileč</t>
  </si>
  <si>
    <t>Milínov</t>
  </si>
  <si>
    <t>Mladý Smolivec</t>
  </si>
  <si>
    <t>Měcholupy</t>
  </si>
  <si>
    <t>Míšov</t>
  </si>
  <si>
    <t>Nebílovy</t>
  </si>
  <si>
    <t>Nepomuk</t>
  </si>
  <si>
    <t>Netunice</t>
  </si>
  <si>
    <t>Neurazy</t>
  </si>
  <si>
    <t>Nezdice</t>
  </si>
  <si>
    <t>Nezdřev</t>
  </si>
  <si>
    <t>Oselce</t>
  </si>
  <si>
    <t>Prádlo</t>
  </si>
  <si>
    <t>Předenice</t>
  </si>
  <si>
    <t>Přestavlky</t>
  </si>
  <si>
    <t>Přeštice</t>
  </si>
  <si>
    <t>Příchovice</t>
  </si>
  <si>
    <t>Sedliště</t>
  </si>
  <si>
    <t>Seč</t>
  </si>
  <si>
    <t>Skašov</t>
  </si>
  <si>
    <t>Soběkury</t>
  </si>
  <si>
    <t>Spálené Poříčí</t>
  </si>
  <si>
    <t>Stod</t>
  </si>
  <si>
    <t>Střelice</t>
  </si>
  <si>
    <t>Střížovice</t>
  </si>
  <si>
    <t>Tojice</t>
  </si>
  <si>
    <t>Ves Touškov</t>
  </si>
  <si>
    <t>Vlčtejn</t>
  </si>
  <si>
    <t>Vlčí</t>
  </si>
  <si>
    <t>Vrčeň</t>
  </si>
  <si>
    <t>Zdemyslice</t>
  </si>
  <si>
    <t>Štěnovice</t>
  </si>
  <si>
    <t>Ždírec</t>
  </si>
  <si>
    <t>Žinkovy</t>
  </si>
  <si>
    <t>Životice</t>
  </si>
  <si>
    <t>Čižice</t>
  </si>
  <si>
    <t>Čmelíny</t>
  </si>
  <si>
    <t>Čížkov</t>
  </si>
  <si>
    <t>Řenče</t>
  </si>
  <si>
    <t>Útušice</t>
  </si>
  <si>
    <t>Okres Plzeň - jih celkem</t>
  </si>
  <si>
    <t>Plzeň - město</t>
  </si>
  <si>
    <t>Chrást</t>
  </si>
  <si>
    <t>Chválenice</t>
  </si>
  <si>
    <t>Dýšina</t>
  </si>
  <si>
    <t>Kyšice</t>
  </si>
  <si>
    <t>Letkov</t>
  </si>
  <si>
    <t>Lhůta</t>
  </si>
  <si>
    <t>Losiná</t>
  </si>
  <si>
    <t>Mokrouše</t>
  </si>
  <si>
    <t>Nezbavětice</t>
  </si>
  <si>
    <t>Nezvěstice</t>
  </si>
  <si>
    <t>2010 Fond hejtmanky</t>
  </si>
  <si>
    <t>Starý Plzenec</t>
  </si>
  <si>
    <t>Štěnovický Borek</t>
  </si>
  <si>
    <t>Šťahlavy</t>
  </si>
  <si>
    <t>Šťáhlavy</t>
  </si>
  <si>
    <t>Okres Plzeň - město celkem</t>
  </si>
  <si>
    <t>Plzeň - sever</t>
  </si>
  <si>
    <t>Bdeněves</t>
  </si>
  <si>
    <t>Blatnice</t>
  </si>
  <si>
    <t>Bohy</t>
  </si>
  <si>
    <t>Brodeslavy</t>
  </si>
  <si>
    <t>Bučí</t>
  </si>
  <si>
    <t>Bílov</t>
  </si>
  <si>
    <t>Chotíkov</t>
  </si>
  <si>
    <t>Dobříč</t>
  </si>
  <si>
    <t>Dolní Bělá</t>
  </si>
  <si>
    <t>Dražeň</t>
  </si>
  <si>
    <t>Druztová</t>
  </si>
  <si>
    <t>Heřmanova Huť</t>
  </si>
  <si>
    <t>Hlince</t>
  </si>
  <si>
    <t>Hněvnice</t>
  </si>
  <si>
    <t>Holovousy</t>
  </si>
  <si>
    <t>Horní Bělá</t>
  </si>
  <si>
    <t>Hromnice</t>
  </si>
  <si>
    <t>Hvozd</t>
  </si>
  <si>
    <t>Kaceřov</t>
  </si>
  <si>
    <t>Koryta</t>
  </si>
  <si>
    <t>Kozojedy</t>
  </si>
  <si>
    <t>Kozolupy</t>
  </si>
  <si>
    <t>Kožlany</t>
  </si>
  <si>
    <t>Kočín</t>
  </si>
  <si>
    <t>Krašovice</t>
  </si>
  <si>
    <t>Krsy</t>
  </si>
  <si>
    <t>Křelovice</t>
  </si>
  <si>
    <t>Ledce</t>
  </si>
  <si>
    <t>Lochousice</t>
  </si>
  <si>
    <t>Líně</t>
  </si>
  <si>
    <t>Líté</t>
  </si>
  <si>
    <t>Líšťany</t>
  </si>
  <si>
    <t>Manětín</t>
  </si>
  <si>
    <t>Mladotice</t>
  </si>
  <si>
    <t>Mrtník</t>
  </si>
  <si>
    <t>Město Touškov</t>
  </si>
  <si>
    <t>Nadryby</t>
  </si>
  <si>
    <t>Nekmíř</t>
  </si>
  <si>
    <t>Nečtiny</t>
  </si>
  <si>
    <t>Nýřany</t>
  </si>
  <si>
    <t>Obora</t>
  </si>
  <si>
    <t>Ostrov u Bezdružic</t>
  </si>
  <si>
    <t>Pastuchovice</t>
  </si>
  <si>
    <t>Pernarec</t>
  </si>
  <si>
    <t>Plešnice</t>
  </si>
  <si>
    <t>Pláně</t>
  </si>
  <si>
    <t>Pňovany</t>
  </si>
  <si>
    <t>Přehýšov</t>
  </si>
  <si>
    <t>Rochlov</t>
  </si>
  <si>
    <t>Studená</t>
  </si>
  <si>
    <t>Tatiná</t>
  </si>
  <si>
    <t>Tis u Blatna</t>
  </si>
  <si>
    <t>Tlučná</t>
  </si>
  <si>
    <t>Trnová</t>
  </si>
  <si>
    <t>Vejprnice</t>
  </si>
  <si>
    <t>Vochov</t>
  </si>
  <si>
    <t>Vysoká Libyně</t>
  </si>
  <si>
    <t>Všehrdy</t>
  </si>
  <si>
    <t>Výrov</t>
  </si>
  <si>
    <t>Zahrádka</t>
  </si>
  <si>
    <t>Zbůch</t>
  </si>
  <si>
    <t>Zruč - Senec</t>
  </si>
  <si>
    <t>Štichovice</t>
  </si>
  <si>
    <t>Žihle</t>
  </si>
  <si>
    <t>Žilov</t>
  </si>
  <si>
    <t>Čeminy</t>
  </si>
  <si>
    <t>Černíkovice</t>
  </si>
  <si>
    <t>Čerňovice</t>
  </si>
  <si>
    <t>Česká Bříza</t>
  </si>
  <si>
    <t>Úherce</t>
  </si>
  <si>
    <t>Úlice</t>
  </si>
  <si>
    <t>Úněšov</t>
  </si>
  <si>
    <t>Okres Plzeň - sever celkem</t>
  </si>
  <si>
    <t>Bujesily</t>
  </si>
  <si>
    <t>Bušovice</t>
  </si>
  <si>
    <t>Břasy</t>
  </si>
  <si>
    <t>Březina</t>
  </si>
  <si>
    <t>Chomle</t>
  </si>
  <si>
    <t>Dobřív</t>
  </si>
  <si>
    <t>Drahoňův Újezd</t>
  </si>
  <si>
    <t>Ejpovice</t>
  </si>
  <si>
    <t>Hlohovice</t>
  </si>
  <si>
    <t>Holoubkov</t>
  </si>
  <si>
    <t>Hůrky</t>
  </si>
  <si>
    <t>Kařez</t>
  </si>
  <si>
    <t>Kařízek</t>
  </si>
  <si>
    <t>Kornatice</t>
  </si>
  <si>
    <t>Lhota pod Radčem</t>
  </si>
  <si>
    <t>Litohlavy</t>
  </si>
  <si>
    <t>Líšná</t>
  </si>
  <si>
    <t>Medový Újezd</t>
  </si>
  <si>
    <t>Mešno</t>
  </si>
  <si>
    <t>Mýto</t>
  </si>
  <si>
    <t>2010 Památky - ostatní dotace</t>
  </si>
  <si>
    <t>Nevid</t>
  </si>
  <si>
    <t>Němčovice</t>
  </si>
  <si>
    <t>Ostrovec-Lhotka</t>
  </si>
  <si>
    <t>Plískov</t>
  </si>
  <si>
    <t>Podmokly</t>
  </si>
  <si>
    <t>Příkosice</t>
  </si>
  <si>
    <t>Radnice</t>
  </si>
  <si>
    <t>Sebečice</t>
  </si>
  <si>
    <t>Skomelno</t>
  </si>
  <si>
    <t>Terešov</t>
  </si>
  <si>
    <t>Těně</t>
  </si>
  <si>
    <t>Těškov</t>
  </si>
  <si>
    <t>Týček</t>
  </si>
  <si>
    <t>Vejvanov</t>
  </si>
  <si>
    <t>Volduchy</t>
  </si>
  <si>
    <t>Všenice</t>
  </si>
  <si>
    <t>Zbiroh</t>
  </si>
  <si>
    <t>Zvíkovec</t>
  </si>
  <si>
    <t>Štítov</t>
  </si>
  <si>
    <t>Benešovice</t>
  </si>
  <si>
    <t>Bezdružice</t>
  </si>
  <si>
    <t>Brod nad Tichou</t>
  </si>
  <si>
    <t>Broumov</t>
  </si>
  <si>
    <t>Cebiv</t>
  </si>
  <si>
    <t>Chodová Planá</t>
  </si>
  <si>
    <t>Erpužice</t>
  </si>
  <si>
    <t>Halže</t>
  </si>
  <si>
    <t>Horní Kozolupy</t>
  </si>
  <si>
    <t>Hošťka</t>
  </si>
  <si>
    <t>Kladruby</t>
  </si>
  <si>
    <t>Kokašice</t>
  </si>
  <si>
    <t>Konstantinovy Lázně</t>
  </si>
  <si>
    <t>Kostelec</t>
  </si>
  <si>
    <t>Kočov</t>
  </si>
  <si>
    <t>Kšice</t>
  </si>
  <si>
    <t>Lesná</t>
  </si>
  <si>
    <t>Milíře</t>
  </si>
  <si>
    <t>Olbramov</t>
  </si>
  <si>
    <t>Ošelín</t>
  </si>
  <si>
    <t>Planá</t>
  </si>
  <si>
    <t>Prostiboř</t>
  </si>
  <si>
    <t>Přimda</t>
  </si>
  <si>
    <t>Staré Sedliště</t>
  </si>
  <si>
    <t>Staré Sedlo</t>
  </si>
  <si>
    <t>Stříbro</t>
  </si>
  <si>
    <t>Svojšín</t>
  </si>
  <si>
    <t>Sytno</t>
  </si>
  <si>
    <t>Tisová</t>
  </si>
  <si>
    <t>Trpísty</t>
  </si>
  <si>
    <t>Třemešné</t>
  </si>
  <si>
    <t>Zadní Chodov</t>
  </si>
  <si>
    <t>Záchlumí</t>
  </si>
  <si>
    <t>Částkov</t>
  </si>
  <si>
    <t>Dotace dobrovolným svazkům obcí Plzeňského kraje z rozpočtu kraje (v tis. Kč)</t>
  </si>
  <si>
    <t>Sdružení obcí okresu Plzeň-jih pro odpadové hospodářství</t>
  </si>
  <si>
    <t xml:space="preserve">2010 Životní prostředí - ostatní dotace </t>
  </si>
  <si>
    <t>Bělská skupina</t>
  </si>
  <si>
    <t>Dobrovolný svazek obcí Horní Berounka, povodí Klabavy</t>
  </si>
  <si>
    <t>Dobrovolný svazek obcí Ostružná</t>
  </si>
  <si>
    <t>Dobrovolný svazek obcí Stříbrský region</t>
  </si>
  <si>
    <t>Manětínsko - nečtinský mikroregion</t>
  </si>
  <si>
    <t>Mikroregion Dobrohost (nástupce DSO Český Les)</t>
  </si>
  <si>
    <t>Mikroregion Konstantinolázeňsko</t>
  </si>
  <si>
    <t>Mikroregion Radbuza</t>
  </si>
  <si>
    <t>Mikroregion Radnicko</t>
  </si>
  <si>
    <t>Mikroregion Radyně</t>
  </si>
  <si>
    <t>Mikroregion Úslava</t>
  </si>
  <si>
    <t>Svazek obcí Měčínsko</t>
  </si>
  <si>
    <t>Zásobování vodou obcí Bušovice a Smědčice</t>
  </si>
  <si>
    <t>Pozn.:</t>
  </si>
  <si>
    <t>Z rozpočtu kraje byly v roce 2010 ještě poskytnuty dotace organizaci mimo území kraje v celkové výši 2 400 tis. Kč a to Vodohospodářskému sdružení obcí západních Čech. Částka 2 400 tis. Kč byla poskytnuta z "Programu pro oblast ochrany vod a zásobování pitnou vodou 2010".</t>
  </si>
  <si>
    <t>Účelové prostředky poskytnuté prostřednictvím Plzeňského kraje soukromým školám působícím na území PK (v tis. Kč)</t>
  </si>
  <si>
    <t xml:space="preserve">Účel </t>
  </si>
  <si>
    <t>Soukromá SOŠ a Gymnázium Bean Staňkov, s.r.o.</t>
  </si>
  <si>
    <t>Dotace pro soukromé školy</t>
  </si>
  <si>
    <t>ZŠ Adélka, Meclov, o.p.s.</t>
  </si>
  <si>
    <t>Asistenti pedagogů v soukromých a církevních speciálních školách</t>
  </si>
  <si>
    <t>SOU obchodu a řemesel, Starý Plzenec, s.r.o.</t>
  </si>
  <si>
    <t>Celkem okres Plzeň - Jih</t>
  </si>
  <si>
    <t xml:space="preserve"> okres Plzeň - město</t>
  </si>
  <si>
    <t>Gymnázium F.Křižíka Plzeň, s.r.o.</t>
  </si>
  <si>
    <t>Mateřská škola Drobeček, s.r.o.</t>
  </si>
  <si>
    <t>Plzeňská obch. akademie Plzeň, s.r.o.</t>
  </si>
  <si>
    <t>SOŠ a SOU ob.sl. a pr.hot. Plzeň, s.r.o.</t>
  </si>
  <si>
    <t>SOŠ ochr.osob.a maj. Plzeň, s.r.o.</t>
  </si>
  <si>
    <t>Souk. stř. uměleskoprům. škola - Zámeček Plzeň, s.r.o.</t>
  </si>
  <si>
    <t>Soukr. stř. uměleckoprům. škola Plzeň - Litice, s.r.o.</t>
  </si>
  <si>
    <t>Soukromá ZŠ Elementária Plzeň, s.r.o.</t>
  </si>
  <si>
    <t>Soukromá mateřská škola Plzeň - Božkov</t>
  </si>
  <si>
    <t>Sport. a podnikatelská SŠ Plzeň, s.r.o.</t>
  </si>
  <si>
    <t>VOŠ zdravotnická Dr. I. Mauritzové, s.r.o.</t>
  </si>
  <si>
    <t>ZUŠ Elementária Plzeň</t>
  </si>
  <si>
    <t>ZUŠ Trnka Plzeň, o.p.s.</t>
  </si>
  <si>
    <t>ZŠ Martina Luthera Plzeň, s.r.o.</t>
  </si>
  <si>
    <t>MŠ Harmonie Rokycany, s.r.o.</t>
  </si>
  <si>
    <t>Celkem okres Rokycany</t>
  </si>
  <si>
    <t>ZŠ speciální Royal Rangers při Středisku Víteček</t>
  </si>
  <si>
    <t xml:space="preserve">Celkem okres Tachov </t>
  </si>
  <si>
    <r>
      <t xml:space="preserve">Pozn.: </t>
    </r>
    <r>
      <rPr>
        <sz val="10"/>
        <rFont val="Arial"/>
        <family val="2"/>
        <charset val="238"/>
      </rPr>
      <t>Poskytovatelem veškerých těchto dotací je Ministerstvo školství, mládeže a tělovýchovy ČR</t>
    </r>
  </si>
  <si>
    <t>Výdaje Plzeňského kraje po konsolidaci dle rozpočtové skladby  (v tis. Kč)</t>
  </si>
  <si>
    <t>Rozpočtová oblast</t>
  </si>
  <si>
    <t>Paragraf</t>
  </si>
  <si>
    <t>Schválený rozpočet v Kč</t>
  </si>
  <si>
    <t>Upravený rozpočet v Kč</t>
  </si>
  <si>
    <t>Čerpání v Kč</t>
  </si>
  <si>
    <t>5311</t>
  </si>
  <si>
    <t>Bezpečnost a veřejný pořádek</t>
  </si>
  <si>
    <t>5139</t>
  </si>
  <si>
    <t>Nákup materiálu j.n.</t>
  </si>
  <si>
    <t>5169</t>
  </si>
  <si>
    <t>Nákup ostatních služeb</t>
  </si>
  <si>
    <t>5175</t>
  </si>
  <si>
    <t>Pohoštění</t>
  </si>
  <si>
    <t>5229</t>
  </si>
  <si>
    <t>Ostatní neinvestiční transfery neziskovým a podobným organizacím</t>
  </si>
  <si>
    <t>5319</t>
  </si>
  <si>
    <t>Ostatní neinvestiční transfery jiným veřejným rozpočtům</t>
  </si>
  <si>
    <t>5321</t>
  </si>
  <si>
    <t>Neinvestiční transfery obcím</t>
  </si>
  <si>
    <t>5332</t>
  </si>
  <si>
    <t>Neinvestiční transfery vysokým školám</t>
  </si>
  <si>
    <t>5362</t>
  </si>
  <si>
    <t>Platby daní a poplatků státnímu rozpočtu</t>
  </si>
  <si>
    <t>6341</t>
  </si>
  <si>
    <t>Investiční transfery obcím</t>
  </si>
  <si>
    <t>Celkem Bezpečný kraj</t>
  </si>
  <si>
    <t>Silnice</t>
  </si>
  <si>
    <t>5166</t>
  </si>
  <si>
    <t>Konzultační, poradenské a právní služby</t>
  </si>
  <si>
    <t>5171</t>
  </si>
  <si>
    <t>Opravy a udržování</t>
  </si>
  <si>
    <t>5331</t>
  </si>
  <si>
    <t>Neinvestiční příspěvky zřízeným příspěvkovým organizacím</t>
  </si>
  <si>
    <t>5336</t>
  </si>
  <si>
    <t>Neinvestiční dotace zřízeným příspěvkovým organizacím</t>
  </si>
  <si>
    <t>5363</t>
  </si>
  <si>
    <t>Úhrady sankcí jiným rozpočtům</t>
  </si>
  <si>
    <t>6121</t>
  </si>
  <si>
    <t>6351</t>
  </si>
  <si>
    <t>Investiční transfery zřízeným příspěvkovým  a podobným organizacím</t>
  </si>
  <si>
    <t>2221</t>
  </si>
  <si>
    <t>Provoz veřejné silniční dopravy</t>
  </si>
  <si>
    <t>5193</t>
  </si>
  <si>
    <t>Výdaje na dopravní územní obslužnost</t>
  </si>
  <si>
    <t>Bezpečnost silničního provozu</t>
  </si>
  <si>
    <t>5133</t>
  </si>
  <si>
    <t>Léky a zdravotnický materiál</t>
  </si>
  <si>
    <t>5339</t>
  </si>
  <si>
    <t>Neinvestiční příspěvky ostatním příspěvkovým organizacím</t>
  </si>
  <si>
    <t>Ostatní záležitosti v silniční dopravě</t>
  </si>
  <si>
    <t>5021</t>
  </si>
  <si>
    <t>5194</t>
  </si>
  <si>
    <t>Věcné dary</t>
  </si>
  <si>
    <t>2242</t>
  </si>
  <si>
    <t>Provoz veřejné železniční dopravy</t>
  </si>
  <si>
    <t>2249</t>
  </si>
  <si>
    <t>Ostatní záležitosti železniční dopravy</t>
  </si>
  <si>
    <t>2280</t>
  </si>
  <si>
    <t>Výzkum a vývoj v dopravě</t>
  </si>
  <si>
    <t>5222</t>
  </si>
  <si>
    <t>Neinvestiční transfery občanským sdružením</t>
  </si>
  <si>
    <t>2299</t>
  </si>
  <si>
    <t>Ostatní záležitosti v dopravě</t>
  </si>
  <si>
    <t>6202</t>
  </si>
  <si>
    <t>Celkem Doprava</t>
  </si>
  <si>
    <t>3639</t>
  </si>
  <si>
    <t>Komunální služby a územní rozvoj j.n.</t>
  </si>
  <si>
    <t>5011</t>
  </si>
  <si>
    <t>5031</t>
  </si>
  <si>
    <t>Povinné pojistné na sociální zabezpečení a příspěvek na státní politiku zaměstnanosti</t>
  </si>
  <si>
    <t>5032</t>
  </si>
  <si>
    <t>Povinné pojistné na veřejné zdravotní pojištění</t>
  </si>
  <si>
    <t>5173</t>
  </si>
  <si>
    <t>Cestovné (tuzemnské i zahraniční)</t>
  </si>
  <si>
    <t>5179</t>
  </si>
  <si>
    <t>Ostatní nákupy j.n.</t>
  </si>
  <si>
    <t>6223</t>
  </si>
  <si>
    <t>Mezinárodní spolupráce (jinde nezařazená)</t>
  </si>
  <si>
    <t>5038</t>
  </si>
  <si>
    <t>Povinné pojistné na úrazové pojištění</t>
  </si>
  <si>
    <t>5136</t>
  </si>
  <si>
    <t>Knihy, učební pomůcky a tisk</t>
  </si>
  <si>
    <t>5142</t>
  </si>
  <si>
    <t>5156</t>
  </si>
  <si>
    <t>Pohonné hmoty a maziva</t>
  </si>
  <si>
    <t>5161</t>
  </si>
  <si>
    <t>Služby pošt</t>
  </si>
  <si>
    <t>5162</t>
  </si>
  <si>
    <t>Služby telekomunikací a radiokomunikací</t>
  </si>
  <si>
    <t>5163</t>
  </si>
  <si>
    <t>Služby peněžních ústavů</t>
  </si>
  <si>
    <t>5164</t>
  </si>
  <si>
    <t>Nájemné</t>
  </si>
  <si>
    <t>5499</t>
  </si>
  <si>
    <t>Celkem Fondy a programy EU</t>
  </si>
  <si>
    <t>5269</t>
  </si>
  <si>
    <t>Ostatní správa v oblasti hospodářských opatření pro krizové stavy</t>
  </si>
  <si>
    <t>5323</t>
  </si>
  <si>
    <t>5273</t>
  </si>
  <si>
    <t>Ostatní správa v oblasti krizového řízení</t>
  </si>
  <si>
    <t>5137</t>
  </si>
  <si>
    <t>Drobný hmotný dlouhodobý majetek</t>
  </si>
  <si>
    <t>5172</t>
  </si>
  <si>
    <t>6111</t>
  </si>
  <si>
    <t>6122</t>
  </si>
  <si>
    <t>5299</t>
  </si>
  <si>
    <t>Ostatní záležitosti civilní připravenosti pro krizové stavy</t>
  </si>
  <si>
    <t>6339</t>
  </si>
  <si>
    <t>Ostatní investiční transfery jiným veřejným rozpočtům</t>
  </si>
  <si>
    <t>5511</t>
  </si>
  <si>
    <t>Požární ochrana - profesionální část</t>
  </si>
  <si>
    <t>5512</t>
  </si>
  <si>
    <t>Požární ochrana - dobrovolná část</t>
  </si>
  <si>
    <t>5563</t>
  </si>
  <si>
    <t>Činnost ostatních orgánů státní správy v integrovaném záchranném systému</t>
  </si>
  <si>
    <t xml:space="preserve">Celkem Krizové řízení a IZS </t>
  </si>
  <si>
    <t>Vnitřní obchod</t>
  </si>
  <si>
    <t>Cestovní ruch</t>
  </si>
  <si>
    <t>5212</t>
  </si>
  <si>
    <t>Neinvestiční transfery nefinančním podnikatelským subjektům-fyzickým osobám</t>
  </si>
  <si>
    <t>5213</t>
  </si>
  <si>
    <t>Neinvestiční transfery nefinančním podnikatelským subjektům-právnickým osobám</t>
  </si>
  <si>
    <t>5493</t>
  </si>
  <si>
    <t>Účelové neinvestiční transfery nepodnikajícím fyzickým osobám</t>
  </si>
  <si>
    <t>5909</t>
  </si>
  <si>
    <t>Ostatní neinvestiční výdaje j.n.</t>
  </si>
  <si>
    <t>6119</t>
  </si>
  <si>
    <t>Ostatní nákup dlouhodobého nehmotného majetku</t>
  </si>
  <si>
    <t>6125</t>
  </si>
  <si>
    <t>6312</t>
  </si>
  <si>
    <t>Investiční  transfery nefinančním podnikatelským subjektům-fyzickým osobám</t>
  </si>
  <si>
    <t>6313</t>
  </si>
  <si>
    <t>Investiční  transfery nefinančním podnikatelským subjektům-právnickým osobám</t>
  </si>
  <si>
    <t>6322</t>
  </si>
  <si>
    <t>Investiční transfery občanským sdružením</t>
  </si>
  <si>
    <t>6329</t>
  </si>
  <si>
    <t>Ostatní investiční transfery neziskovým a podobným organizacím</t>
  </si>
  <si>
    <t>6909</t>
  </si>
  <si>
    <t>Ostatní kapitálové výdaje j.n.</t>
  </si>
  <si>
    <t>3126</t>
  </si>
  <si>
    <t>Konzervatoře</t>
  </si>
  <si>
    <t>3231</t>
  </si>
  <si>
    <t>Základní umělecké školy</t>
  </si>
  <si>
    <t>3311</t>
  </si>
  <si>
    <t>Divadelní činnost</t>
  </si>
  <si>
    <t>3312</t>
  </si>
  <si>
    <t>Hudební činnost</t>
  </si>
  <si>
    <t>5221</t>
  </si>
  <si>
    <t>Neinvestiční transfery obecně prospěšným společnostem</t>
  </si>
  <si>
    <t>5223</t>
  </si>
  <si>
    <t>Neinvestiční transfery církvím a náboženským společnostem</t>
  </si>
  <si>
    <t>3313</t>
  </si>
  <si>
    <t>Filmová tvorba, distribuce, kina a shromažďování audiovizuálních archiválií</t>
  </si>
  <si>
    <t>3314</t>
  </si>
  <si>
    <t>Činnosti knihovnické</t>
  </si>
  <si>
    <t>3315</t>
  </si>
  <si>
    <t>Činnosti muzeí a galerií</t>
  </si>
  <si>
    <t>3316</t>
  </si>
  <si>
    <t>Vydavatelská činnost</t>
  </si>
  <si>
    <t>3317</t>
  </si>
  <si>
    <t>Výstavní činnosti v kultuře</t>
  </si>
  <si>
    <t>3319</t>
  </si>
  <si>
    <t>Ostatní záležitosti kultury</t>
  </si>
  <si>
    <t>3322</t>
  </si>
  <si>
    <t>Zachování a obnova kulturních památek</t>
  </si>
  <si>
    <t>3326</t>
  </si>
  <si>
    <t>Pořízení, zachování a obnova hodnot místního kulturního, národního a historického povědomí</t>
  </si>
  <si>
    <t>3329</t>
  </si>
  <si>
    <t>Ostatní záležitosti ochrany památek a péče o kulturní dědictví</t>
  </si>
  <si>
    <t>3399</t>
  </si>
  <si>
    <t>Ostatní záležitosti kultury, církví a sdělovacích prostředků</t>
  </si>
  <si>
    <t>3429</t>
  </si>
  <si>
    <t>Ostatní zájmová činnost a rekreace</t>
  </si>
  <si>
    <t>4322</t>
  </si>
  <si>
    <t>Ústavy péče pro mládež</t>
  </si>
  <si>
    <t>Celkem Kultura a cestovní ruch</t>
  </si>
  <si>
    <t>6130</t>
  </si>
  <si>
    <t>Pozemky</t>
  </si>
  <si>
    <t>3121</t>
  </si>
  <si>
    <t>Gymnázia</t>
  </si>
  <si>
    <t>3122</t>
  </si>
  <si>
    <t>Střední odborné školy</t>
  </si>
  <si>
    <t>3123</t>
  </si>
  <si>
    <t>Střední odborná učiliště a učiliště</t>
  </si>
  <si>
    <t>3125</t>
  </si>
  <si>
    <t>Střediska praktického vyučování a školní hospodářství</t>
  </si>
  <si>
    <t>3522</t>
  </si>
  <si>
    <t>Ostatní nemocnice</t>
  </si>
  <si>
    <t>3533</t>
  </si>
  <si>
    <t>Zdravotnická záchranná služba</t>
  </si>
  <si>
    <t>3613</t>
  </si>
  <si>
    <t>Nebytové hospodářství</t>
  </si>
  <si>
    <t>4357</t>
  </si>
  <si>
    <t>Domovy</t>
  </si>
  <si>
    <t>6219</t>
  </si>
  <si>
    <t>Ostatní veřejné služby j.n.</t>
  </si>
  <si>
    <t>6320</t>
  </si>
  <si>
    <t>Pojištění funkčně nespecifikované</t>
  </si>
  <si>
    <t>6409</t>
  </si>
  <si>
    <t>Ostatní činnosti j.n.</t>
  </si>
  <si>
    <t>Celkem Majetek</t>
  </si>
  <si>
    <t>3419</t>
  </si>
  <si>
    <t>Ostatní tělovýchovná činnost</t>
  </si>
  <si>
    <t>3636</t>
  </si>
  <si>
    <t>Územní rozvoj</t>
  </si>
  <si>
    <t>4339</t>
  </si>
  <si>
    <t>Ostatní sociální péče a pomoc rodině a manželství</t>
  </si>
  <si>
    <t>4359</t>
  </si>
  <si>
    <t>Ost. služby a činnosti v oblasti sociální péče</t>
  </si>
  <si>
    <t>4399</t>
  </si>
  <si>
    <t>Ostatní záležitosti sociálních věcí a politiky zaměstnanosti</t>
  </si>
  <si>
    <t>6149</t>
  </si>
  <si>
    <t>Ostatní všeobecná vnitřní správa j.n.</t>
  </si>
  <si>
    <t>6174</t>
  </si>
  <si>
    <t>Činnost regionálních rad</t>
  </si>
  <si>
    <t>5325</t>
  </si>
  <si>
    <t>Neinvestiční transfery regionálním radám</t>
  </si>
  <si>
    <t>6345</t>
  </si>
  <si>
    <t>Investiční transfery regionálním radám</t>
  </si>
  <si>
    <t>6310</t>
  </si>
  <si>
    <t>Obecné příjmy a výdaje z finančních operací</t>
  </si>
  <si>
    <t>6399</t>
  </si>
  <si>
    <t>Ostatní finanční operace</t>
  </si>
  <si>
    <t>6402</t>
  </si>
  <si>
    <t>5364</t>
  </si>
  <si>
    <t>Vratky veřejným rozpočtům ústřední úrovně transferů poskytnutých v minulých rozpočtových obdobých</t>
  </si>
  <si>
    <t>5366</t>
  </si>
  <si>
    <t>Výdaje z finančního vypořádání minulých let mezi krajem a obcemi</t>
  </si>
  <si>
    <t>5901</t>
  </si>
  <si>
    <t>Nespecifikované rezervy</t>
  </si>
  <si>
    <t>Celkem Ostatní financování</t>
  </si>
  <si>
    <t>2219</t>
  </si>
  <si>
    <t>Ostatní záležitosti pozemních komunikací</t>
  </si>
  <si>
    <t>6349</t>
  </si>
  <si>
    <t>Ostatní investiční transfery veřejným rozpočtům územní úrovně</t>
  </si>
  <si>
    <t>2310</t>
  </si>
  <si>
    <t>Pitná voda</t>
  </si>
  <si>
    <t>2321</t>
  </si>
  <si>
    <t>Odvádění a čištění odpadních vod a nakládání s kaly</t>
  </si>
  <si>
    <t>2341</t>
  </si>
  <si>
    <t>Vodní díla v zemědělské krajině</t>
  </si>
  <si>
    <t>Předškolní zařízení</t>
  </si>
  <si>
    <t>Základní školy</t>
  </si>
  <si>
    <t>3117</t>
  </si>
  <si>
    <t>První stupeň základních škol</t>
  </si>
  <si>
    <t>3119</t>
  </si>
  <si>
    <t>Ostatní záležitosti předškolní výchovy a základního vzdělávání</t>
  </si>
  <si>
    <t>3141</t>
  </si>
  <si>
    <t>Školní stravování při předškolním a základním vzdělávání</t>
  </si>
  <si>
    <t>3341</t>
  </si>
  <si>
    <t>Rozhlas a televize</t>
  </si>
  <si>
    <t>3392</t>
  </si>
  <si>
    <t>Zájmová činnost v kultuře</t>
  </si>
  <si>
    <t>3412</t>
  </si>
  <si>
    <t>Sportovní zařízení v majetku obce</t>
  </si>
  <si>
    <t>3421</t>
  </si>
  <si>
    <t>Využití volného času dětí a mládeže</t>
  </si>
  <si>
    <t>3511</t>
  </si>
  <si>
    <t>Všeobecná ambulantní péče</t>
  </si>
  <si>
    <t>3612</t>
  </si>
  <si>
    <t>Bytové hospodářství</t>
  </si>
  <si>
    <t>3631</t>
  </si>
  <si>
    <t>Veřejné osvětlení</t>
  </si>
  <si>
    <t>3632</t>
  </si>
  <si>
    <t>Pohřebnictví</t>
  </si>
  <si>
    <t>3635</t>
  </si>
  <si>
    <t>Územní plánování</t>
  </si>
  <si>
    <t>3745</t>
  </si>
  <si>
    <t>Péče o vzhled obcí a veřejnou zeleň</t>
  </si>
  <si>
    <t>Celkem Regionální rozvoj</t>
  </si>
  <si>
    <t>3541</t>
  </si>
  <si>
    <t>Prevence před drogami, alkoholem, nikotinem a jinými návykovými látkami</t>
  </si>
  <si>
    <t>4312</t>
  </si>
  <si>
    <t>Odborné sociální poradenství</t>
  </si>
  <si>
    <t>4324</t>
  </si>
  <si>
    <t>Zařízení pro děti vyžadující okamžitou pomoc</t>
  </si>
  <si>
    <t>4329</t>
  </si>
  <si>
    <t>Ostatní sociální péče a pomoc dětem a mládeži</t>
  </si>
  <si>
    <t>4344</t>
  </si>
  <si>
    <t>Sociální rehabilitace</t>
  </si>
  <si>
    <t>6321</t>
  </si>
  <si>
    <t>Investiční transfery obecně prospěšným organizacím</t>
  </si>
  <si>
    <t>6323</t>
  </si>
  <si>
    <t>Investiční transfery církvím a náboženským společnostem</t>
  </si>
  <si>
    <t>4349</t>
  </si>
  <si>
    <t>Sociální péče a pomoc ostatním skupinám obyvatelstva</t>
  </si>
  <si>
    <t>4351</t>
  </si>
  <si>
    <t>Osobní asistence, pečovatelská služba a podpora samostatného bydlení</t>
  </si>
  <si>
    <t>4352</t>
  </si>
  <si>
    <t>Tísňová péče</t>
  </si>
  <si>
    <t>4353</t>
  </si>
  <si>
    <t>Průvodcovské a předčitatelské služby</t>
  </si>
  <si>
    <t>4354</t>
  </si>
  <si>
    <t>Chráněné bydlení</t>
  </si>
  <si>
    <t>4355</t>
  </si>
  <si>
    <t>Týdenní stacionáře</t>
  </si>
  <si>
    <t>4356</t>
  </si>
  <si>
    <t>Denní stacionáře a centra denních služeb</t>
  </si>
  <si>
    <t>4371</t>
  </si>
  <si>
    <t>Raná péče a sociálně aktivizační služby pro rodiny s dětmi</t>
  </si>
  <si>
    <t>4372</t>
  </si>
  <si>
    <t>Krizová pomoc</t>
  </si>
  <si>
    <t>4373</t>
  </si>
  <si>
    <t>Domy na půl cesty</t>
  </si>
  <si>
    <t>4374</t>
  </si>
  <si>
    <t>Azylové domy, nízkoprahová denní centra a noclehárny</t>
  </si>
  <si>
    <t>4375</t>
  </si>
  <si>
    <t>Nízkoprahová zařízení pro děti a mládež</t>
  </si>
  <si>
    <t>4376</t>
  </si>
  <si>
    <t>Služby následné péče, terapeutické komunity a kontaktní centra</t>
  </si>
  <si>
    <t>4377</t>
  </si>
  <si>
    <t>Sociálně terapeutické dílny</t>
  </si>
  <si>
    <t>4378</t>
  </si>
  <si>
    <t>Terénní programy</t>
  </si>
  <si>
    <t>4379</t>
  </si>
  <si>
    <t>Ost. služby a činnosti v oblasti sociální prevence</t>
  </si>
  <si>
    <t>6221</t>
  </si>
  <si>
    <t>3299</t>
  </si>
  <si>
    <t>Ostatní záležitosti vzdělávání</t>
  </si>
  <si>
    <t>3599</t>
  </si>
  <si>
    <t>Ostatní činnosti ve zdravotnictví</t>
  </si>
  <si>
    <t>6114</t>
  </si>
  <si>
    <t>5151</t>
  </si>
  <si>
    <t>Studená voda</t>
  </si>
  <si>
    <t>5154</t>
  </si>
  <si>
    <t>Elektrická energie</t>
  </si>
  <si>
    <t>6115</t>
  </si>
  <si>
    <t>5152</t>
  </si>
  <si>
    <t>Teplo</t>
  </si>
  <si>
    <t>6172</t>
  </si>
  <si>
    <t>Činnosti regionální správy</t>
  </si>
  <si>
    <t>5024</t>
  </si>
  <si>
    <t>Odstupné</t>
  </si>
  <si>
    <t>5029</t>
  </si>
  <si>
    <t>Ostatní platby za provedenou práci jinde nezařazené</t>
  </si>
  <si>
    <t>5131</t>
  </si>
  <si>
    <t>Potraviny</t>
  </si>
  <si>
    <t>5134</t>
  </si>
  <si>
    <t>Prádlo, oděv a obuv</t>
  </si>
  <si>
    <t>5153</t>
  </si>
  <si>
    <t>Plyn</t>
  </si>
  <si>
    <t>5167</t>
  </si>
  <si>
    <t>Služby školení a vzdělávání</t>
  </si>
  <si>
    <t>5176</t>
  </si>
  <si>
    <t>Účastnické poplatky na konference</t>
  </si>
  <si>
    <t>5189</t>
  </si>
  <si>
    <t>Ostatní poskytované zálohy a jistiny</t>
  </si>
  <si>
    <t>5192</t>
  </si>
  <si>
    <t>Poskytnuté neinvestiční příspěvky a náhrady (část)</t>
  </si>
  <si>
    <t>5195</t>
  </si>
  <si>
    <t>Odvody za neplnění povinnosti zaměstnávat zdravotně postižené</t>
  </si>
  <si>
    <t>5199</t>
  </si>
  <si>
    <t>Ostatní výdaje související s neinvestičními nákupy</t>
  </si>
  <si>
    <t>5361</t>
  </si>
  <si>
    <t>Nákup kolků</t>
  </si>
  <si>
    <t>5424</t>
  </si>
  <si>
    <t>6123</t>
  </si>
  <si>
    <t>Celkem Vnitřní správa</t>
  </si>
  <si>
    <t>3211</t>
  </si>
  <si>
    <t>Činnost vysokých škol</t>
  </si>
  <si>
    <t>5491</t>
  </si>
  <si>
    <t>Stipendia žákům, studentům a doktorantům</t>
  </si>
  <si>
    <t>5492</t>
  </si>
  <si>
    <t>Dary obyvatelstvu</t>
  </si>
  <si>
    <t>Neinvestiční transfery státnímu rozpočtu</t>
  </si>
  <si>
    <t>3543</t>
  </si>
  <si>
    <t>Pomoc zdravotně postiženým</t>
  </si>
  <si>
    <t>3691</t>
  </si>
  <si>
    <t>Mezinárodní spolupráce v oblasti bydlení, komunálních služeb a územního rozvoje</t>
  </si>
  <si>
    <t>3741</t>
  </si>
  <si>
    <t>Ochrana druhů a stanovišť</t>
  </si>
  <si>
    <t>5529</t>
  </si>
  <si>
    <t>Ostatní složky a činnosti integrovaného záchranného systému</t>
  </si>
  <si>
    <t>6113</t>
  </si>
  <si>
    <t>Zastupitelstva krajů</t>
  </si>
  <si>
    <t>5019</t>
  </si>
  <si>
    <t>Ostatní platy</t>
  </si>
  <si>
    <t>5023</t>
  </si>
  <si>
    <t>Odměny členů zastupitelstev obcí a krajů</t>
  </si>
  <si>
    <t>5039</t>
  </si>
  <si>
    <t>Ostatní povinné pojistné placené zaměstnavatelem</t>
  </si>
  <si>
    <t>5494</t>
  </si>
  <si>
    <t>Neinvestiční transfery obyvatelstvu nemající charakter daru</t>
  </si>
  <si>
    <t>Neinvestiční transfery mezinárodním organizacím</t>
  </si>
  <si>
    <t>Celkem Zastupitelé</t>
  </si>
  <si>
    <t>3513</t>
  </si>
  <si>
    <t>Lékařská služba první pomoci</t>
  </si>
  <si>
    <t>3524</t>
  </si>
  <si>
    <t>Léčebny dlouhodobě nemocných</t>
  </si>
  <si>
    <t>3529</t>
  </si>
  <si>
    <t>Ostatní ústavní péče</t>
  </si>
  <si>
    <t>3539</t>
  </si>
  <si>
    <t>Ostatní zdravotnická zařízení a služby pro zdravotnictví</t>
  </si>
  <si>
    <t>3592</t>
  </si>
  <si>
    <t>Další vzdělávání pracovníků ve zdravotnictví</t>
  </si>
  <si>
    <t>6201</t>
  </si>
  <si>
    <t>3724</t>
  </si>
  <si>
    <t>Využívání a zneškodňování nebezpečných odpadů</t>
  </si>
  <si>
    <t>Speciální předškolní zařízení</t>
  </si>
  <si>
    <t>3114</t>
  </si>
  <si>
    <t>Speciální základní školy</t>
  </si>
  <si>
    <t>3118</t>
  </si>
  <si>
    <t>Druhý stupeň základních škol</t>
  </si>
  <si>
    <t>3124</t>
  </si>
  <si>
    <t>Speciální střední školy</t>
  </si>
  <si>
    <t>3128</t>
  </si>
  <si>
    <t>Sportovní školy - gymnázia</t>
  </si>
  <si>
    <t>3146</t>
  </si>
  <si>
    <t>Zařízení výchovného poradenství a preventivně výchovné péče</t>
  </si>
  <si>
    <t>3149</t>
  </si>
  <si>
    <t>Ostatní zařízení související s výchovou a vzděláváním mládeže j.n.</t>
  </si>
  <si>
    <t>3150</t>
  </si>
  <si>
    <t>Vyšší odborné školy</t>
  </si>
  <si>
    <t>3291</t>
  </si>
  <si>
    <t>Mezinárodní spolupráce ve vzdělávání</t>
  </si>
  <si>
    <t>6371</t>
  </si>
  <si>
    <t>Účelové investiční transfery nepodnikajícím fyzickým osobám</t>
  </si>
  <si>
    <t>4226</t>
  </si>
  <si>
    <t>Ostatní podpora zaměstnanosti</t>
  </si>
  <si>
    <t>Celkem Školství a tělovýchova</t>
  </si>
  <si>
    <t>1031</t>
  </si>
  <si>
    <t>Pěstební činnost</t>
  </si>
  <si>
    <t>1036</t>
  </si>
  <si>
    <t>Správa v lesním hospodařství</t>
  </si>
  <si>
    <t>1037</t>
  </si>
  <si>
    <t>Celospolečenské funkce lesů</t>
  </si>
  <si>
    <t>6319</t>
  </si>
  <si>
    <t>Ostatní investiční  transfery podnikatelským subjektům</t>
  </si>
  <si>
    <t>1039</t>
  </si>
  <si>
    <t>Ostatní záležitosti lesního hospodářství</t>
  </si>
  <si>
    <t>2339</t>
  </si>
  <si>
    <t>Záležitosti vodních toků a vodohospodářských děl j.n.</t>
  </si>
  <si>
    <t>2369</t>
  </si>
  <si>
    <t>Ostatní správa ve vodním hospodářství</t>
  </si>
  <si>
    <t>2399</t>
  </si>
  <si>
    <t>Ostatní záležitosti vodního hospodářství</t>
  </si>
  <si>
    <t>3716</t>
  </si>
  <si>
    <t>Monitoring ochrany ovzduší</t>
  </si>
  <si>
    <t>3721</t>
  </si>
  <si>
    <t>Sběr a svoz nebezpečných odpadů</t>
  </si>
  <si>
    <t>5329</t>
  </si>
  <si>
    <t>Ostatní neinvestiční transfery veřejným rozpočtům územní úrovně</t>
  </si>
  <si>
    <t>3725</t>
  </si>
  <si>
    <t>Využívání a zneškodňování komunálních odpadů</t>
  </si>
  <si>
    <t>3727</t>
  </si>
  <si>
    <t>Prevence vzniku odpadů</t>
  </si>
  <si>
    <t>3728</t>
  </si>
  <si>
    <t>Monitoring nakládání s odpady</t>
  </si>
  <si>
    <t>3742</t>
  </si>
  <si>
    <t>Chráněné části přírody</t>
  </si>
  <si>
    <t>3749</t>
  </si>
  <si>
    <t>Ostatní činnosti k ochraně přírody a krajiny j.n.</t>
  </si>
  <si>
    <t>3769</t>
  </si>
  <si>
    <t>Ostatní správa v ochraně životního prostředí</t>
  </si>
  <si>
    <t>3773</t>
  </si>
  <si>
    <t>Monitoring k zajišťování úrovně radioaktivního záření</t>
  </si>
  <si>
    <t>3792</t>
  </si>
  <si>
    <t>Ekologická výchova a osvěta</t>
  </si>
  <si>
    <t>3799</t>
  </si>
  <si>
    <t>Ostatní ekologické záležitosti a programy</t>
  </si>
  <si>
    <t>Celkem Životní prostředí</t>
  </si>
  <si>
    <t xml:space="preserve">Rezervní fond Plzeňského kraje (v Kč) </t>
  </si>
  <si>
    <t>Příjem</t>
  </si>
  <si>
    <t>Výdaj</t>
  </si>
  <si>
    <t>Počáteční stav Rezervního fondu PK (PS RF PK) k 1.1.2010</t>
  </si>
  <si>
    <t>-</t>
  </si>
  <si>
    <t>Příjem - převod zůstatku volných finančních prostředků z minulých let</t>
  </si>
  <si>
    <t>ZPK č. 435/10 - 10. 6. 2010</t>
  </si>
  <si>
    <t>Příjem - vratky předfinancovaných projektů z rozpočtu PK (spolufinancování EU a státního rozpočtu)</t>
  </si>
  <si>
    <t>Podrobný rozbor viz příloha č. 21 a č. 22 Závěrečného účtu PK 2010</t>
  </si>
  <si>
    <t>Příjem - Finanční vypořádání za rok 2009</t>
  </si>
  <si>
    <t>Příjem - určeno pro oblast Životní prostředí</t>
  </si>
  <si>
    <t>Příjem - určeno pro oblast Majetek</t>
  </si>
  <si>
    <t>Příjem - uložené odvody příspěvkovým organizacím Plzeňského kraje</t>
  </si>
  <si>
    <t>Příjem - úroky v rámci Rezervního fondu PK za r. 2010</t>
  </si>
  <si>
    <t>Výdaj - oblast Doprava</t>
  </si>
  <si>
    <t>Výdaj - oblast Kultura a cestovní ruch</t>
  </si>
  <si>
    <t>Výdaj - oblast Majetek</t>
  </si>
  <si>
    <t>Výdaj - oblast Regionální rozvoj</t>
  </si>
  <si>
    <t>Výdaj - oblast Sociální věci</t>
  </si>
  <si>
    <t>Výdaj - oblast Zdravotnictví</t>
  </si>
  <si>
    <t>Výdaj - oblast Školství a tělovýchova</t>
  </si>
  <si>
    <t>Výdaj - oblast Životní prosředí</t>
  </si>
  <si>
    <t>Výdaj - bankovní poplatky v rámci Rezervního fondu PK za r. 2010</t>
  </si>
  <si>
    <t>Součet</t>
  </si>
  <si>
    <t>Konečný stav Rezervního fondu PK k 31.12.2010</t>
  </si>
  <si>
    <t>Fond financování Klatovské nemocnice (v Kč)</t>
  </si>
  <si>
    <t>Počáteční stav Fondu financování Klatovské nemocnice k 1.1.2010</t>
  </si>
  <si>
    <t>Příjem - částečný převod z Termínovaného vkladu Rezervního fondu PK</t>
  </si>
  <si>
    <t>RPK č. 2340/10 - 8.7.2010</t>
  </si>
  <si>
    <t>Příjem - převod konečného zůstatku Termínovaného vkladu Rezervního fondu PK</t>
  </si>
  <si>
    <t>RPK č. 2617/10 - 23.9.2010,                                     RPK č. 2725/10  - 7.10.2010</t>
  </si>
  <si>
    <t>Příjem - nadměrný odpočet k dani z přidané hodnoty za 3. čtvrtletí roku 2010</t>
  </si>
  <si>
    <t>RPK č. 3007/10 - 9.12.2010</t>
  </si>
  <si>
    <t>Příjem - úroky v rámci Fondu financování Klatovské nemocnice za r. 2010</t>
  </si>
  <si>
    <t>Výdaj - bankovní poplatky v rámci Fondu financování Klatovské nemocnice za r. 2010</t>
  </si>
  <si>
    <t>Výdaj - financování výstavby Klatovské nemocnice</t>
  </si>
  <si>
    <t>Konečný stav Fondu financování Klatovské nemocnice k 31.12.2010</t>
  </si>
  <si>
    <t>Fond zaměstnavatele (v Kč)</t>
  </si>
  <si>
    <t>Počáteční stav Fondu zaměstnavatele k 1.1.2010</t>
  </si>
  <si>
    <t>Příjem - převod z výdajového účtu PK - příděl do Fondu zaměstnavatele v r. 2010</t>
  </si>
  <si>
    <t>Příjem - úroky v rámci Fondu zaměstavatele za r. 2010</t>
  </si>
  <si>
    <t>Příjem - penzijní fondy (odměna z penzijního připojištění)</t>
  </si>
  <si>
    <t>Výdaj - příspěvek na stravování</t>
  </si>
  <si>
    <t>Výdaj - Příspěvek na ošatné</t>
  </si>
  <si>
    <t>Výdaj - příspěvek na penzijní připojištění</t>
  </si>
  <si>
    <t>Výdaj - peněžité dary - životní jubilea</t>
  </si>
  <si>
    <t>Výdaj - příspěvky na kulturní a sportovní akce</t>
  </si>
  <si>
    <t>Výdaj - bankovní poplatky v rámci Fondu zaměstavatele za r. 2010</t>
  </si>
  <si>
    <t>Konečný stav Fondu zaměstavatele k 31.12.2010</t>
  </si>
  <si>
    <t>Rezervní fond Plzeňského kraje (v Kč) - stav k 31.12.2010 - rozbor dle oblastí</t>
  </si>
  <si>
    <t>Obl.</t>
  </si>
  <si>
    <t>Subjekt</t>
  </si>
  <si>
    <t>Určeno pro oblast (v Kč)</t>
  </si>
  <si>
    <t>Vyčerpáno             (v Kč)</t>
  </si>
  <si>
    <t>Zůstatek k 31.12.2010 (v Kč)</t>
  </si>
  <si>
    <t>Usnesení</t>
  </si>
  <si>
    <t>Běžné výdaje</t>
  </si>
  <si>
    <t>Dopravní organizace</t>
  </si>
  <si>
    <t>Krajská správa a údržba silnic Plzeňského kraje</t>
  </si>
  <si>
    <t>RPK č. 1510/09, RPK č. 1664/10, RPK č. 1946/10, ZPK č. 435/10, RPK č. 2276/10, RPK č. 2488/10</t>
  </si>
  <si>
    <t>Neinvestiční akce na silnicích Celkem</t>
  </si>
  <si>
    <t>Kapitálové výdaje</t>
  </si>
  <si>
    <t>Investiční akce na silnicích Celkem</t>
  </si>
  <si>
    <t>Před. a kof. proj. SÚS</t>
  </si>
  <si>
    <t>Dopravní org.</t>
  </si>
  <si>
    <t>Předfinancování a kofinancování projektů SÚS Celkem</t>
  </si>
  <si>
    <t>Doprava Celkem</t>
  </si>
  <si>
    <t>ZPK č. 435/10, RPK č. 2278/10, RPK č. 3019/10</t>
  </si>
  <si>
    <t>Provozní příspěvek Celkem</t>
  </si>
  <si>
    <t>ZPK č. 435/10, RPK č. 2278/10, RPK č. 2831/10</t>
  </si>
  <si>
    <t>Hvězdárna v Rokycanech, Voldušská 721 (IČ:00368601)</t>
  </si>
  <si>
    <t>RPK č. 1510/09, RPK č. 1664/10</t>
  </si>
  <si>
    <t>Muzeum jižního Plzeňska v Blovicích, Hradiště 1 (IČ:00075710)</t>
  </si>
  <si>
    <t>RPK č. 2490/10</t>
  </si>
  <si>
    <t>Muzeum Šumavy Sušice, nám. Svobody 40 (IČ:00075116)</t>
  </si>
  <si>
    <t>ZPK č. 435/10, RPK č. 2278/10, RPK č. 2490/10, RPK č. 2831/10, RPK č. 3019/10</t>
  </si>
  <si>
    <t>Vlastivědné muzeum Dr. Hostaše v Klatovech, Hostašova 1 (IČ:00075078)</t>
  </si>
  <si>
    <t>RPK č. 1510/09, RPK č. 1664/10, RPK č. 2490/10</t>
  </si>
  <si>
    <t>Západočeské muzeum v Plzni, Kopeckého sady 2 (IČ:00228745)</t>
  </si>
  <si>
    <t>RPK č. 1959/10</t>
  </si>
  <si>
    <t>Muzeum Chodska v Domažlicích (IČ: 00073873)</t>
  </si>
  <si>
    <t>Stavební investice Celkem</t>
  </si>
  <si>
    <t>Nerozdělené prostředky</t>
  </si>
  <si>
    <t>ZPK č. 435/10</t>
  </si>
  <si>
    <t>Kultura a cestovní ruch Celkem</t>
  </si>
  <si>
    <t>Krajská organizace - majetek</t>
  </si>
  <si>
    <t>Centrální nákup, příspěvková organizace, Plzeň, Škroupova 18 (IČ:72046635)</t>
  </si>
  <si>
    <t>ZPK č. 435/10, RPK č. 2637/10</t>
  </si>
  <si>
    <t>Strojní investice Celkem</t>
  </si>
  <si>
    <t>Nerozdělené prostředky (určeno pro Centrální nákup, p.o., Plzeň, Škroupova 18, IČ:72046635)</t>
  </si>
  <si>
    <t>Prostředky na nákup nemovitostí pro Gymnázium L. Pika, Plzeň a Gymnázium Mikulášské náměstí Plzeň</t>
  </si>
  <si>
    <t>RPK č. 2903/10, RPK č. 3177/10,  zahrnuto ve financování rozpočtu PK na rok 2011-viz bilance rozpočtu</t>
  </si>
  <si>
    <t>Majetek Celkem</t>
  </si>
  <si>
    <t>Ostatní financ.</t>
  </si>
  <si>
    <t>Ostatní financování - Zůstatek z přebytku hospodaření PK za r. 2008</t>
  </si>
  <si>
    <t>Externí subjekty</t>
  </si>
  <si>
    <t>RPK č. 2465/10, RPK č. 2510/10, ZPK č. 575/10</t>
  </si>
  <si>
    <t>Dotace na podporu činnosti Místních akčních skupin v PK Celkem</t>
  </si>
  <si>
    <t>Obce PK</t>
  </si>
  <si>
    <t>ZPK č. 435/10, RPK č. 2477/10, RPK č. 2574/10, ZPK č. 576/10</t>
  </si>
  <si>
    <t>ZPK č. 435/10, RPK č. 2927/10, RPK č. 2947/10, ZPK č. 623/10</t>
  </si>
  <si>
    <t>Dot. obcím PK na řešení probl. hav. stavů objektů v maj. obcí</t>
  </si>
  <si>
    <t>Dotace obcím PK na řešení problematiky havarijních stavů objektů v majetku obcí Celkem</t>
  </si>
  <si>
    <t xml:space="preserve">ZPK č. 435/10, ZPK č. 449/10, RPK č. 1978/10, RPK č. 3022/10 </t>
  </si>
  <si>
    <t>Program stabilizace a obnovy venkova Plzeňského kraje Celkem</t>
  </si>
  <si>
    <t>ZPK č. 435/10, RPK č. 2477/10, RPK č. 2574/10, RPK č. 2841/10, ZPK č. 576/10</t>
  </si>
  <si>
    <t>ZPK č. 435/10, RPK č. 2477/10, RPK č. 2574/10, RPK č. 2750/10, ZPK č. 576/10</t>
  </si>
  <si>
    <t>ZPK č. 435/10, RPK č. 2477/10, RPK č. 2574/10, RPK č. 3020/10, ZPK č. 576/10</t>
  </si>
  <si>
    <t>Program stabilizace a obnovy venkova PK</t>
  </si>
  <si>
    <t>Tr. org., obcím, veř. rozp., obyv.</t>
  </si>
  <si>
    <t>Nevyčerpané prostředky-dotace pro Městys Dešenice z položky Dotace obcím PK na řešení problematiky havarijních stavů objektů v majetku obcí (Transf. org., obcím, veř. rozp., obyvat.)</t>
  </si>
  <si>
    <t>RPK č. 2477/10, RPK č. 2574/10, ZPK č. 435/10, ZPK č. 576/10</t>
  </si>
  <si>
    <t>Regionální rozvoj Celkem</t>
  </si>
  <si>
    <t>Domov klidného stáří v Žinkovech, příspěvková organizace, Žinkovy 89 (IČ: 49180312)</t>
  </si>
  <si>
    <t>ZPK č. 435/10, RPK č. 2929/10</t>
  </si>
  <si>
    <t>Domov pro os. se zdrav. postižením Bystřice nad Úhlavou, p. o., Bystřice nad Úhl. 44 (IČ:49207300)</t>
  </si>
  <si>
    <t>RPK č. 1510/09, RPK č. 1664/10, RPK č. 1636/10</t>
  </si>
  <si>
    <t>Dům sociální péče Kralovice, příspěvková organizace, Plzeňská tř. 345 (IČ:49748190)</t>
  </si>
  <si>
    <t>ZPK č. 435/10, z toho 9 450 000 Kč je zahrnuto ve financování rozpočtu PK na rok 2011-viz bilance rozpočtu</t>
  </si>
  <si>
    <t>RPK č. 537/09, zahrnuto ve financování rozpočtu PK na rok 2011-viz bilance rozpočtu</t>
  </si>
  <si>
    <t>Sociální věci Celkem</t>
  </si>
  <si>
    <t>Zdravotnické organizace - obchodní společnosti</t>
  </si>
  <si>
    <t>Domažlická nemocnice, a.s.</t>
  </si>
  <si>
    <t>ZPK č. 435/10, RPK č. 2352/10</t>
  </si>
  <si>
    <t>Klatovská nemocnice, a.s.</t>
  </si>
  <si>
    <t>Rokycanská nemocnice, a.s.</t>
  </si>
  <si>
    <t>Stodská nemocnice, a.s.</t>
  </si>
  <si>
    <t>Služby obecného hospodářského zájmu Celkem</t>
  </si>
  <si>
    <t>Zdravotnická záchranná služba Plzeňského kraje, příspěvková organizace, Plzeň 3, Doudlevce, Edvarda Beneše 525/19 (IČ:45333009)</t>
  </si>
  <si>
    <t>RPK č. 1510/09, RPK č. 1664/10, RPK č. 2919/10</t>
  </si>
  <si>
    <t>RPK č. 1510/09, RPK č. 1664/10, RPK č. 1637/10</t>
  </si>
  <si>
    <t>RPK č. 1510/09, RPK č. 1664/10, RPK č. 2844/10</t>
  </si>
  <si>
    <t>Nemocnice následné péče Svatá Anna s.r.o.</t>
  </si>
  <si>
    <t>RPK č. 86/08 - 22.12.2008 - Nevyčerpaná akce z roku 2008</t>
  </si>
  <si>
    <t>Stavební investice - obchodní společnosti Celkem</t>
  </si>
  <si>
    <t>Zdravotnictví Celkem</t>
  </si>
  <si>
    <t>Krajské školy - okres Domažlice</t>
  </si>
  <si>
    <t>ZPK č. 435/10, RPK č. 2494/10, RPK č. 2771/10, RPK č. 2925/10, RPK č. 2776/10, RPK č. 2832/10</t>
  </si>
  <si>
    <t>Krajské školy - okres Klatovy</t>
  </si>
  <si>
    <t>Krajské školy - okres Plzeň - jih</t>
  </si>
  <si>
    <t>Krajské školy - okres Plzeň - město</t>
  </si>
  <si>
    <t>Vyšší odb. škola a Střední průmysl. škola elektrotech., Plzeň, Koterovská 85 (IČ:49774301)</t>
  </si>
  <si>
    <t>Krajské školy - okres Plzeň - sever</t>
  </si>
  <si>
    <t>Krajské školy - okres Rokycany</t>
  </si>
  <si>
    <t>Krajské školy - okres Tachov</t>
  </si>
  <si>
    <t>Motivace pro technické vzdělávání mládeže PK Celkem</t>
  </si>
  <si>
    <t>ZPK č. 435/10, RPK č. 2274/10</t>
  </si>
  <si>
    <t>Vyšší odb. škola, Obch. akademie a Jaz. škola s právem státní jazykové zk., Klatovy (IČ:61781771)</t>
  </si>
  <si>
    <t>ZPK č. 435/10, RPK č. 2274/10, RPK č. 2923/10</t>
  </si>
  <si>
    <t>Krajské školy - okres PM</t>
  </si>
  <si>
    <t>Střední zdravot. škola a Vyšší odb. škola zdravot., Plzeň, Karlovarská 99 (IČ:00669695)</t>
  </si>
  <si>
    <t>ZPK č. 435/10, RPK č. 2274/10, RPK č. 2830/10</t>
  </si>
  <si>
    <t>ZPK č. 435/10, RPK č. 2274/10, RPK č. 2754/10, RPK č. 3189/11</t>
  </si>
  <si>
    <t>ZPK č. 435/10, RPK č. 2274/10, RPK č. 2713/10</t>
  </si>
  <si>
    <t>Motivace pro techn. vzděl. mládeže PK</t>
  </si>
  <si>
    <t>ZPK č. 435/10, RPK č. 2305/10, RPK č. 2363/10, ZPK č. 578/10, RPK č. 2528/10, RPK č. 2634/10, RPK č. 2665/10, RPK č. 2776/10, RPK č. 2832/10, RPK č. 2985/10, RPK č. 3018/10, ZPK č. 629/10</t>
  </si>
  <si>
    <t>Soukromé školy - okres Plzeň - město</t>
  </si>
  <si>
    <t>ZPK č. 435/10, RPK č. 2528/10,RPK č. 2634/10</t>
  </si>
  <si>
    <t>Neinvestiční transfery subjektům v oblasti Školství a tělovýchova Celkem</t>
  </si>
  <si>
    <t>Předfinancování a kofinancování projektů Celkem</t>
  </si>
  <si>
    <t>ZPK č. 435/10, RPK č. 2274/10, RPK č. 2493/10</t>
  </si>
  <si>
    <t>ZPK č. 435/10, RPK č. 2274/10, RPK č. 2663/10</t>
  </si>
  <si>
    <t>ZPK č. 435/10, RPK č. 2274/10, RPK č. 2754/10</t>
  </si>
  <si>
    <t>ZPK č. 435/10, RPK č. 2830/10</t>
  </si>
  <si>
    <t>Nevyčerpané prostředky z položky Motivace pro technické vzdělávání mládeže PK (Příspěvky PO kraje)</t>
  </si>
  <si>
    <t>Nevyčerpané prostředky z položky Rezerva fin. prostř. na provozní náklady škol a školských zařízení (Běžné výdaje oblasti)</t>
  </si>
  <si>
    <t>Školství a tělovýchova Celkem</t>
  </si>
  <si>
    <t>ZPK č. 435/10, RPK č. 2478/10, RPK č. 2704/10 - 23.9.2010, RPK č. 2809/10 - 21.10.2010, RPK č. 2975/10 - 25.11.2010, RPK č. 3099/10 - 9.12.2010, ZPK č. 680/10 - 16.12.2010</t>
  </si>
  <si>
    <t>Posk. fin. příspěvků na hospodaření v lesích</t>
  </si>
  <si>
    <t>ZPK č. 435/10, RPK č. 2478/10</t>
  </si>
  <si>
    <t>Poskytování finančních příspěvků na hospodaření v lesích Celkem</t>
  </si>
  <si>
    <t>ZPK č. 435/10, RPK č. 2478/10, ZPK č. 421/10 - 11.3.2010, ZPK č. 478/10 - 10.6.2010, ZPK č. 597/10 - 9.9.2010</t>
  </si>
  <si>
    <t>Drobné vodohospodářské akce, dotace obcím Celkem</t>
  </si>
  <si>
    <t>Nevyčerpané prostředky z položky Drobné vodohospodářské akce, dotace obcím (Transfery org., obcím, veř. rozp., obyvat.)</t>
  </si>
  <si>
    <t>Nevyčerpané prostředky z položky Poskytování finančních příspěvků na hospodaření v lesích (Transfery org., obcím, veř. rozp., obyvat.)</t>
  </si>
  <si>
    <t>RPK č. 3124/10</t>
  </si>
  <si>
    <t>Životní prostředí Celkem</t>
  </si>
  <si>
    <t>Zastupitelé Celkem</t>
  </si>
  <si>
    <t xml:space="preserve">Blokace na propad příjmů </t>
  </si>
  <si>
    <t>Blokace na propad příjmů Celkem</t>
  </si>
  <si>
    <t>Uložené odvody p.o. PK</t>
  </si>
  <si>
    <t>RPK č. 3016/10</t>
  </si>
  <si>
    <t>Muzeum a galerie severního Plzeňska, Kralovice, Mariánský Týnec 1 (IČ: 00368563)</t>
  </si>
  <si>
    <t>RPK č. 3026/10</t>
  </si>
  <si>
    <t>Domov sociálních služeb Liblín, příspěvková organizace, Liblín 1 (IČ: 48379794)</t>
  </si>
  <si>
    <t>RPK č. 3040/10</t>
  </si>
  <si>
    <t>Uložené odvody příspěvkovým organizacím PK Celkem</t>
  </si>
  <si>
    <t>Vratky předfin. proj. z rozp. PK</t>
  </si>
  <si>
    <t>RPK č. 1796/10, 2107/10, 2359/10, 2472/10, RPK č. 2483/10, RPK č. 2585/10, RPK č. 2606/10, RPK č. 2627/10, RPK č. 2740/10, RPK č. 3115/10, RPK č. 2477/10, RPK č. 2488/10, RPK č. 2490/10</t>
  </si>
  <si>
    <t>Vratky předfinancovaných projektů z rozpočtu PK (spolufinancování EU a státního rozpočtu) Celkem</t>
  </si>
  <si>
    <t>Úroky z účtů RF PK</t>
  </si>
  <si>
    <t>Úroky z běžného účtu Rezervního fondu PK za roky 2009 a 2010 (UniCredit Bank Czech Republic, a.s.)</t>
  </si>
  <si>
    <t>Úroky z běžného účtu Rezervního fondu PK za rok 2010 (Komerční banka, a.s.)</t>
  </si>
  <si>
    <t>Úroky z běžných účtů Rezervního fondu PK</t>
  </si>
  <si>
    <t>Bankovní popl. účtů RF PK</t>
  </si>
  <si>
    <t>Bankovní poplatky u běžného účtu Rezervního fondu PK za roky 2009 a 2010 (UniCredit Bank Czech Republic, a.s.)</t>
  </si>
  <si>
    <t>Bankovní poplatky u běžného účtu Rezervního fondu PK za rok 2010 (Komerční banka, a.s.)</t>
  </si>
  <si>
    <t>Bankovní poplatky u běžných účtů Rezervního fondu PK</t>
  </si>
  <si>
    <t>Celkový souhrn Rezervního fondu Plzeňského kraje k 31. 12. 2010</t>
  </si>
  <si>
    <t xml:space="preserve">   z toho: zůstatek RF PK k 31.12.2010 (účet u UniCredit Bank Czech Republic, a.s.) </t>
  </si>
  <si>
    <t xml:space="preserve">   z toho:zůstatek RF PK k 31.12.2010 (účet u Komerční banky, a.s.) </t>
  </si>
  <si>
    <t xml:space="preserve"> z toho: k využití v r. 2011 - pro oblast Doprava</t>
  </si>
  <si>
    <t xml:space="preserve"> z toho: k využití v r. 2011 - pro oblast Kultura a cestovní ruch</t>
  </si>
  <si>
    <t xml:space="preserve"> z toho: k využití v r. 2011 - pro oblast Majetek</t>
  </si>
  <si>
    <t>z toho 82 365 500 Kč zahrnuto ve financ. rozpočtu PK na rok 2011</t>
  </si>
  <si>
    <t xml:space="preserve"> z toho: k využití v r. 2011 - pro oblast Regionální rozvoj</t>
  </si>
  <si>
    <t xml:space="preserve"> z toho: k využití v r. 2011 - pro oblast Sociální věci</t>
  </si>
  <si>
    <t>z toho 31 850 000 Kč zahrnuto ve financ. rozpočtu PK na rok 2011</t>
  </si>
  <si>
    <t xml:space="preserve"> z toho: k využití v r. 2011 - pro oblast Zdravotnictví</t>
  </si>
  <si>
    <t xml:space="preserve"> z toho: k využití v r. 2011 - pro oblast Školství a tělovýchova</t>
  </si>
  <si>
    <t xml:space="preserve"> z toho: k využití v r. 2011 - pro oblast Životní prostředí</t>
  </si>
  <si>
    <t xml:space="preserve"> z toho: k využití v r. 2011 - pro oblast Zastupitelé</t>
  </si>
  <si>
    <t xml:space="preserve"> z toho: k využití v r. 2011 - pro oblast Vnitřní správa (určeno pro Centrální nákup, p.o., Plzeň, Škroupova 18, IČ:72046635)</t>
  </si>
  <si>
    <t xml:space="preserve"> z toho: k využití v r. 2011 - pro oblast Ostatní financování</t>
  </si>
  <si>
    <t xml:space="preserve"> z toho: k využití v r. 2011 - Blokace na propad příjmů </t>
  </si>
  <si>
    <t xml:space="preserve"> z toho: k využití v r. 2011 - Uložené odvody příspěvkovým organizacím PK</t>
  </si>
  <si>
    <t xml:space="preserve"> z toho: k využití v r. 2011 - Vratky předfinancovaných projektů z rozpočtu PK (spolufinancování EU a státního rozpočtu)</t>
  </si>
  <si>
    <t xml:space="preserve"> z toho: k využití v r. 2011 - Úroky z běžných účtů Rezervního fondu PK (od zůstatku úroků odečteny bankovní poplatky)</t>
  </si>
  <si>
    <t>Rezervní fond Plzeňského kraje (v Kč) - stav k 31.12.2010 - Rozbor akcí příspěvkových organizací PK</t>
  </si>
  <si>
    <t>Oblast</t>
  </si>
  <si>
    <t>Název organizace</t>
  </si>
  <si>
    <t>Určeno pro akci (v Kč)</t>
  </si>
  <si>
    <t>Charakter akce</t>
  </si>
  <si>
    <t>Usnesení a název akce</t>
  </si>
  <si>
    <t>Domov pro osoby se zdravotním postižením Bystřice nad Úhlavou, příspěvková organizace IČ 49207300</t>
  </si>
  <si>
    <t>stavební investice</t>
  </si>
  <si>
    <t>Usnesení RPK č. 1664/10 - 18.2.2010, Usnesením RPK č. 1636/10 ze dne 18.2.2010 byla schválena změna účelu na stavební akci "Dostavba DOZP Bystřice – I.etapa". Původní účel byl na stavební akci „PD - stacionář“</t>
  </si>
  <si>
    <t>Dům sociální péče Kralovice, příspěvková organizace IČ 49748190</t>
  </si>
  <si>
    <t>Usnesení RPK č. 1664/10 - 18.2.2010 - únikové východy na požární schodiště</t>
  </si>
  <si>
    <t>Domov klidného stáří v Žinkovech, příspěvková organizace IČ 49180312</t>
  </si>
  <si>
    <t>neinvestice</t>
  </si>
  <si>
    <t>Usnesení RPK č. 2929/10 - 25.11.2010 - Rekonstrukce objektu domova</t>
  </si>
  <si>
    <t>Nemocnice následné péče Svatá Anna s.r.o. IČ 26360896</t>
  </si>
  <si>
    <t>Usnesení RPK č. 86/08 - 22.12.2008 - Nevyčerpaná akce z roku 2008 - nebylo zapojeno do rozpočtu PK v roce 2010 rozpočtovým opatřením - Výstavba výtahu v budově ve vlastnictví Plzeňského kraje</t>
  </si>
  <si>
    <t>Zdravotnická záchranná služba Plzeňského kraje, příspěvková organizace IČ 45333009</t>
  </si>
  <si>
    <t>Usnesení RPK č. 1664/10 - 18.2.2010 - Rekonstr.budovy po SÚS Tachov-přesun posádky z Plané</t>
  </si>
  <si>
    <t>Usnesení RPK č. 1664/10 - 18.2.2010, Usnesením RPK č. 1637/10 ze dne 18.2.2010 byla schválena změna účelu na stavební akci „Stavební úpravy a nástavba objektu v Domažlicích“. Původní účel byl na stavební akci "Výstavba odlučovače ropných látek Vlčice"</t>
  </si>
  <si>
    <t>strojní investice</t>
  </si>
  <si>
    <t>Usnesení RPK č. 1664/10 - 18.2.2010, RPK č. 2919/10 - 25.11.2010 - sanitní vozy</t>
  </si>
  <si>
    <t>Domažlická nemocnice, a.s. IČ 26361078</t>
  </si>
  <si>
    <t>Usnesení RPK č. 1664/10 - 18.2.2010, RPK č. 2844/10 - 11.11.2010 - Snížení energet. nároč. celého systemu energ.</t>
  </si>
  <si>
    <t>Dětský domov, Planá IČ 70842540</t>
  </si>
  <si>
    <t>Usnesení RPK č. 1664/10 - 18.2.2010 - Rekonstrukce budovy</t>
  </si>
  <si>
    <t>Gymnázium, Plzeň, Mikulášské nám. 23 IČ 49778145</t>
  </si>
  <si>
    <t>Usnesení RPK č. 1664/10 - 18.2.2010 - Rozvoj vzdělávacích kapacit .... (ROP)</t>
  </si>
  <si>
    <t>Střední odborná škola obchodu, užitého umění a designu IČ 00520152</t>
  </si>
  <si>
    <t>Usnesení RPK č. 1664/10 - 18.2.2010 - Nová výstavba, rekonstrukce, projektová dokumentace</t>
  </si>
  <si>
    <t>Základní škola speciální, Plzeň, Skupova 15                           IČ 49777645</t>
  </si>
  <si>
    <t>Usnesení RPK č. 2274/10 - 17.6.2010, RPK č. 2754/10 - 21.10.2010, RPK č. 3189/11 - 27.1.2011 - Výměna dřevěných oken za plastová</t>
  </si>
  <si>
    <t>Střední průmyslová škola strojnická, Plzeň, Klatovská 109 IČ 69457425</t>
  </si>
  <si>
    <t>Usnesení RPK č. 2274/10 - 17.6.2010 - Výměna rozvodů vody, rekonstrukse přívodu elektro</t>
  </si>
  <si>
    <t>Střední průmyslová škola, Tachov, Světce 1                                IČ 00520110</t>
  </si>
  <si>
    <t>Usnesení RPK č. 2274/10 - 17.6.2010 - Odstranění havarijního stavu kotelny v Oldřichově</t>
  </si>
  <si>
    <t>Střední odborná škola, Stříbro, Benešova 508                              IČ 68783728</t>
  </si>
  <si>
    <t>Usnesení RPK č. 2274/10 - 17.6.2010, RPK č. 2663/10 - 23.9.2010 - Rekonstr.havar. stavu rozvodu vody a elektriky</t>
  </si>
  <si>
    <t>Usnesení RPK č. 2274/10 - 17.6.2010, RPK č. 2663/10 - 23.9.2010 - Řešení havarijního stavu vzduchotechniky v naší školní kuchyni</t>
  </si>
  <si>
    <t>Usnesení RPK č. 2274/10 - 17.6.2010, RPK č. 2663/10 - 23.9.2010 - Rekonstrukce nevyhovujícího umělého osvětlení v budově školy</t>
  </si>
  <si>
    <t>Základní škola a Mateřská škola, Tachov, Petra Jilemnického 1995 IČ 70842523</t>
  </si>
  <si>
    <t>Usnesení RPK č. 2274/10 - 17.6.2010 - Úprava hřiště</t>
  </si>
  <si>
    <t>Usnesení RPK č. 2274/10 - 17.6.2010, RPK č. 2493/10 - 19.8.2010 - Rekonstrukce oken v objektu školy</t>
  </si>
  <si>
    <t>Střední odborná škola a Střední odborné učiliště, Horšovský Týn, Littrowa 122 IČ 00376469</t>
  </si>
  <si>
    <t>Usnesení RPK č. 2274/10 - 17.6.2010, RPK č. 2754/10 - 21.10.2010 - Výukové a vzdělávací centrum Horšov - dostavba II. etapy</t>
  </si>
  <si>
    <t>Střední odborné učiliště, Domažlice, Prokopa Velikého 640 IČ 18230083</t>
  </si>
  <si>
    <t>Usnesení RPK č. 2274/10 - 17.6.2010 - Rekonstrukce soustruhu SV 18 R</t>
  </si>
  <si>
    <t>Střední škola, Rokycany, Jeřabinová 96/III                                               IČ 18242171</t>
  </si>
  <si>
    <t>Usnesení RPK č. 2274/10 - 17.6.2010 - Nákup vrtacího a frézovacího centra</t>
  </si>
  <si>
    <t>Střední odborná škola a Střední odborné učiliště, Sušice, U Kapličky 761 IČ 00077615</t>
  </si>
  <si>
    <t>Usnesení RPK č. 2274/10 - 17.6.2010 - Nákup CNC</t>
  </si>
  <si>
    <t xml:space="preserve">Střední odborné učiliště stavební, Plzeň, Borská 55                                                         IČ 00497061 </t>
  </si>
  <si>
    <t>Usnesení RPK č. 2830/10 - 11.11.2010 - Nákup truhl. stroje pro výuku</t>
  </si>
  <si>
    <t>Usnesení RPK č. 2830/10 - 11.11.2010 - Rekonstrukce regulační stanice plynu</t>
  </si>
  <si>
    <t>Střední škola, Rokycany, Jeřabinová 96/III                                            IČ 18242171</t>
  </si>
  <si>
    <t>Usnesení RPK č. 2830/10 - 11.11.2010 - Generální opravy frézky FA 3V</t>
  </si>
  <si>
    <t>Gymnázium, Stříbro, Soběslavova 1426 IČ 70842582</t>
  </si>
  <si>
    <t>Usnesení RPK č. 2830/10 - 11.11.2010 - Odstranění závad  z revize výtahu</t>
  </si>
  <si>
    <t>Krajské centrum vzdělávání a Jazyková škola s právem státní jazykové zkoušky, Plzeň, sady 5. května 42 IČ 49774191</t>
  </si>
  <si>
    <t>Usnesení RPK č. 2923/10 - 25.11.2010 - Zabezpečení vybudování informačního a poradenského centra</t>
  </si>
  <si>
    <t>Střední škola, Oselce 1 IČ 00077691</t>
  </si>
  <si>
    <t>Usnesení RPK č. 2923/10 - 25.11.2010 - Zabezpečení přípravy projektu úpravy pozemků Plzeňského kraje</t>
  </si>
  <si>
    <t>Hvězdárna v Rokycanech IČ 00368601</t>
  </si>
  <si>
    <t>Usnesení RPK č. 1664/10 - 18.2.2010 - Stanoviště pro starý dalekohled-osazení včetně krytu</t>
  </si>
  <si>
    <t>Muzeum Šumavy Sušice IČ 00075116</t>
  </si>
  <si>
    <t>Usnesení RPK č. 1664/10 - 18.2.2010 - II. etapa rekonstrukce muzea v Kašperských Horách (objekt č.p.140-141)</t>
  </si>
  <si>
    <t>Vlastivědné muzeum Dr. Hostaše v Klatovech                                         IČ 00075078</t>
  </si>
  <si>
    <t>Usnesení RPK č. 1664/10 - 18.2.2010 - Klatovy - dostavba depozitáře</t>
  </si>
  <si>
    <t xml:space="preserve">Západočeské muzeum v Plzni IČ 00228745 </t>
  </si>
  <si>
    <t>Usnesení RPK č. 1959/10 -15.4.2010 - Výměník tepla, včetně vnitřních rozvodů</t>
  </si>
  <si>
    <t>Studijní a vědecká knihovna Plzeňského kraje                                      IČ 00078077</t>
  </si>
  <si>
    <t>Usnesení RPK č. 2278/10 - 17.6.2010, Usnesení RPK č. 2490/10 - 19.8.2010, RPK č. 2831/10 - 11. 11. 2010, RPK č. 3019/10 - 9.12.2010 - Rekonstrukce III. NP</t>
  </si>
  <si>
    <t>Galerie Klatovy / Klenová IČ 00177270</t>
  </si>
  <si>
    <t>Usnesení RPK č. 2831/10 - 11.11.2010 - Pokračování výstavby depozitáře, restaurátorská dílna</t>
  </si>
  <si>
    <t>Muzeum Chodska v Domažlicích IČ 00073873</t>
  </si>
  <si>
    <t>Usnesení RPK č. 2490/10 - 19.8.2010 - Rekonstrukce objektu muzea Jindřicha Jindřicha</t>
  </si>
  <si>
    <t>Muzeum jižního Plzeňska v Blovicích IČ 00075710</t>
  </si>
  <si>
    <t>Usnesení RPK č. 2490/10 - 19.8.2010 - Pokračování rekonstrukce oplocení zámeckého parku</t>
  </si>
  <si>
    <t>Usnesení RPK č. 2490/10 - 19.8.2010 - Rekonstrukce barokní lékárny</t>
  </si>
  <si>
    <t xml:space="preserve">Centrální nákup, příspěvková organizace IČ 72046635 </t>
  </si>
  <si>
    <t>Usnesení RPK č. 2637/10 - 23.9.2010 - Nákup dvou nových vozů Škoda Octavia</t>
  </si>
  <si>
    <t>Celkem akce PO Plzeňského kraje</t>
  </si>
  <si>
    <t xml:space="preserve"> z toho: k využití v r. 2011-pro oblast Majetek (stavební investice)</t>
  </si>
  <si>
    <t xml:space="preserve"> z toho: k využití v r. 2011-pro oblast Zdravotnictví (strojní investice)</t>
  </si>
  <si>
    <t xml:space="preserve"> z toho: k využití v r. 2011-pro oblast Školství a tělovýchova (strojní investice)</t>
  </si>
  <si>
    <t xml:space="preserve">                       Dotace s účelovým znakem zahrnuté v rozpočtu Plzeňského kraje za rok 2010 (v Kč)</t>
  </si>
  <si>
    <t>A/ na běžném účtu</t>
  </si>
  <si>
    <t>Pol.</t>
  </si>
  <si>
    <t>ÚZ</t>
  </si>
  <si>
    <t>pozn.</t>
  </si>
  <si>
    <t>Částka</t>
  </si>
  <si>
    <t>Čerpání k 31.12.</t>
  </si>
  <si>
    <t>% plnění</t>
  </si>
  <si>
    <t>04001</t>
  </si>
  <si>
    <t>Podpora koordinátorů romských poradců</t>
  </si>
  <si>
    <t>ÚV ČR</t>
  </si>
  <si>
    <t>Neinvestiční transfery krajům podle § 27 zákona č. 133/1985 Sb., o požární ochraně Total</t>
  </si>
  <si>
    <t>14005</t>
  </si>
  <si>
    <t>Účelové neinvestiční dotace obcím a krajům na projekty prevence kriminality</t>
  </si>
  <si>
    <t>14012</t>
  </si>
  <si>
    <t>Vzdělávání v Egon centrech krajů a obcí s rozšířenou působností - EU</t>
  </si>
  <si>
    <t>14013</t>
  </si>
  <si>
    <t>Zvýšení kvality řízení v úřadech územní veřejné správy - EU</t>
  </si>
  <si>
    <t>15319</t>
  </si>
  <si>
    <t>Podpora zlepšování stavu přírody a krajiny – program č. 115 120 – EU – NIV</t>
  </si>
  <si>
    <t>MŽP</t>
  </si>
  <si>
    <t>15373</t>
  </si>
  <si>
    <t>Podpora zkvalitnění nakládání s odpady a odstraňování starých ekolog. zátěží – program č. 115 240 – SR – NIV</t>
  </si>
  <si>
    <t>15374</t>
  </si>
  <si>
    <t>Podpora zkvalitnění nakládání s odpady a odstraňování starých ekolog. zátěží – program č. 115 240 – EU – NIV</t>
  </si>
  <si>
    <t>27001</t>
  </si>
  <si>
    <t>Čekání řidičů mezi spoji veřejné linkové autobusové dopravy</t>
  </si>
  <si>
    <t>MD</t>
  </si>
  <si>
    <t>27355</t>
  </si>
  <si>
    <t>Příspěvek na ztrátu dopravce z provozu veřejné osobní drážní dopravy</t>
  </si>
  <si>
    <t>29517</t>
  </si>
  <si>
    <t>Meliorace a hrazení bystřin v lesích podle § 35 odst. 1 a 3 lesního zákona (investice)</t>
  </si>
  <si>
    <t>MZE</t>
  </si>
  <si>
    <t>33007</t>
  </si>
  <si>
    <t>33012</t>
  </si>
  <si>
    <t>33155</t>
  </si>
  <si>
    <t>33215</t>
  </si>
  <si>
    <t>33353</t>
  </si>
  <si>
    <t>33354</t>
  </si>
  <si>
    <t>33435</t>
  </si>
  <si>
    <t>Bezplatná přípravy dětí azylantů, účastníků řízení o azyl a dětí osob se státní příslušností jiného členského státu EU k začlenění do základního vzdělávání</t>
  </si>
  <si>
    <t>35015</t>
  </si>
  <si>
    <t>Specializační vzdělávání zdravotnických pracovníků - rezidenční místa - neinvestice</t>
  </si>
  <si>
    <t>MZDR</t>
  </si>
  <si>
    <t>75115</t>
  </si>
  <si>
    <t>Vyhledávání budov se zvýšeným obsahem radonu</t>
  </si>
  <si>
    <t>SÚJB</t>
  </si>
  <si>
    <t>83001</t>
  </si>
  <si>
    <t>ROP RS Jihozápad - NIV - SR</t>
  </si>
  <si>
    <t>RSJZ</t>
  </si>
  <si>
    <t>83005</t>
  </si>
  <si>
    <t>ROP RS Jihozápad - NIV - EU</t>
  </si>
  <si>
    <t>83501</t>
  </si>
  <si>
    <t>ROP RS Jihozápad - IV - SR</t>
  </si>
  <si>
    <t>83505</t>
  </si>
  <si>
    <t>ROP RS Jihozápad - IV - EU</t>
  </si>
  <si>
    <t>90001</t>
  </si>
  <si>
    <t>Operační program životní prostředí (2007-2013) - spolufinancování - NIV</t>
  </si>
  <si>
    <t>SFŽP</t>
  </si>
  <si>
    <t>95206</t>
  </si>
  <si>
    <t>Finanční mechanismus EHP/Norska - NIV</t>
  </si>
  <si>
    <t>FM EHP/Norsko</t>
  </si>
  <si>
    <t>95816</t>
  </si>
  <si>
    <t>Finanční mechanismus EHP/Norska - IV</t>
  </si>
  <si>
    <t>98005</t>
  </si>
  <si>
    <t>Sčítání lidu, domů a bytů v roce 2011</t>
  </si>
  <si>
    <t>MF ČR</t>
  </si>
  <si>
    <t>98071</t>
  </si>
  <si>
    <t>Účelové   dotace  na   výdaje  spojené   s  volbami  do Parlamentu České republiky</t>
  </si>
  <si>
    <t>98074</t>
  </si>
  <si>
    <t>Účelové dotace na výdaje spojené s volbami do zastupitelstev v obcích</t>
  </si>
  <si>
    <t>98187</t>
  </si>
  <si>
    <t>Účelové dotace na výdaje  spojené se společnými volbami do Senátu a zastupitelstev v obcích v roce 2002</t>
  </si>
  <si>
    <t>98278</t>
  </si>
  <si>
    <t>Náhrady škod způsobených vybranými zvláště chráněnými živočichy</t>
  </si>
  <si>
    <t>98297</t>
  </si>
  <si>
    <t>Účelové dotace krajům na likvidaci léčiv</t>
  </si>
  <si>
    <t>Účelové dotace krajům - TBC</t>
  </si>
  <si>
    <t>98861</t>
  </si>
  <si>
    <t>Výkupy pozemků pod krajskými komunikacemi</t>
  </si>
  <si>
    <t>B/ na čerpacím účtu</t>
  </si>
  <si>
    <t>Limit</t>
  </si>
  <si>
    <t>Povodně 2006 - Obnova obecního a krajského majetku postiženého živelní nebo jinou pohromou - neinvestice</t>
  </si>
  <si>
    <t>Povodně 2006 - Obnova obecního a krajského majetku postiženého živelní nebo jinou pohromou - investice</t>
  </si>
  <si>
    <t>Podpora prevence kriminality - program č. 114050 - investice</t>
  </si>
  <si>
    <t>Integrovaný systém ochrany movitého kulturního dědictví - investice - program č. 434313</t>
  </si>
  <si>
    <t>Integrovaný systém ochrany movitého kulturního dědictví - neinvestice - program č. 434313</t>
  </si>
  <si>
    <t>MV - Ministerstvo vnitra</t>
  </si>
  <si>
    <t>MZE - Ministerstvo zemědělství</t>
  </si>
  <si>
    <t>MŽP - Ministerstvo životního prostředí</t>
  </si>
  <si>
    <t>MD - Ministerstvo dopravy</t>
  </si>
  <si>
    <t>SÚJB - Státní úřad pro jadernou bezpečnost</t>
  </si>
  <si>
    <t>RSJZ - Region soudržnosti Jihozápad</t>
  </si>
  <si>
    <t>MF - Ministerstvo financí</t>
  </si>
  <si>
    <t>SFŽP - Státní fond životního prostředí</t>
  </si>
  <si>
    <t>ÚV ČR - Úřad vlády ČR</t>
  </si>
  <si>
    <t>MZDR - Ministerstvo zdravotnictví</t>
  </si>
  <si>
    <r>
      <t>Vratky dotací poskytnutých z kapitoly Všeobecná pokladní správa za rok 2010</t>
    </r>
    <r>
      <rPr>
        <sz val="10"/>
        <rFont val="Arial CE"/>
        <charset val="238"/>
      </rPr>
      <t xml:space="preserve"> (v Kč)</t>
    </r>
  </si>
  <si>
    <t>UZ</t>
  </si>
  <si>
    <t xml:space="preserve">Nedočerpáno </t>
  </si>
  <si>
    <t>K využití v roce 2010               (jiných letech)</t>
  </si>
  <si>
    <t>* pozn.</t>
  </si>
  <si>
    <t>Vratka (požadavek) dotace při FV</t>
  </si>
  <si>
    <t>Účelová dotace na sčítání lidu, domů a bytů v roce 2011</t>
  </si>
  <si>
    <t>Účelová doatce na volby do Poslanecké sněmovny Parlamentu ČR</t>
  </si>
  <si>
    <t>2)</t>
  </si>
  <si>
    <t>Účelová dotace na výdaje spojené s volbami do zastupitelstev v obcích - konané dne 9. 1. 2010</t>
  </si>
  <si>
    <t>1)</t>
  </si>
  <si>
    <t>Účelová dotace na výdaje spojené s volbami do zastupitelstev v obcích - konané dne 20. 3. 2010</t>
  </si>
  <si>
    <t>Účelová dotace na volby do 1/3 Senátu Parlamentu ČR a zastupitelstev obcí</t>
  </si>
  <si>
    <t>Účelové dotace na majetkoprávní vypořádání pozemků pod komunikacemi II. a III. třídy</t>
  </si>
  <si>
    <r>
      <t>Vratky dotací poskytnutých z ostatních kapitol, ze SFŽP, z RSJZ, Národního fondu za rok 2010</t>
    </r>
    <r>
      <rPr>
        <sz val="10"/>
        <rFont val="Arial CE"/>
        <charset val="238"/>
      </rPr>
      <t xml:space="preserve"> (v Kč)</t>
    </r>
  </si>
  <si>
    <t>Vratka dotace při FV</t>
  </si>
  <si>
    <t>4)</t>
  </si>
  <si>
    <t>Vzdělávání v  Egon centrech krajů a obcí s rozšířenou působností - EU</t>
  </si>
  <si>
    <t>3)</t>
  </si>
  <si>
    <t>Zvýšení  kvality řízení v úřadech územní veřejné správy - EU</t>
  </si>
  <si>
    <t>Podpora zlepšování stavu přírody a krajiny - program č. 115120 - EU:NIV</t>
  </si>
  <si>
    <t>Podpora zkvalitnění nakládání s odpady a odstraňování starých ekolog. zátěží - program č. 115 240 - SR NIV</t>
  </si>
  <si>
    <t>Vybavebí škol pomůckami kompenzačního a rehabilitačního charakteru</t>
  </si>
  <si>
    <t>Pokusné ověřování matruritní zkoušky v eoce 2010</t>
  </si>
  <si>
    <t>Speciální vzdělávání zdravotnických pracovníků - rezidenční místa - NIV</t>
  </si>
  <si>
    <t>* pozn.:</t>
  </si>
  <si>
    <t>Pod UZ 98074 byly v roce 2010 poskytnuty Plzeňskému kraji dvě samostatné dotace na výdaje spojené s volbami do zastupitelstev obcí. Protože každá dotace byla poskytnuta na základě samostatného rozhodnutí, vypořádání se provádí odděleně a obě vratky  byly převedeny na vypořádací účet státního rozpočtu kapitoly VPS.</t>
  </si>
  <si>
    <t xml:space="preserve">Pod UZ 98071 byla poskytná dotace překročena v celkové výši 25 729,10 Kč. Tyto prostředky požadujeme vrátit při finančním vypořádání. </t>
  </si>
  <si>
    <t xml:space="preserve">UZ 14012, UZ 14013, UZ 15373, UZ 15374, UZ 15319, UZ 17007, UZ 83xxx, UZ 90001, UZ 95206, UZ 95816 byly výdaje nižší, u některých vyšší než obdržená dotace. Podle metodiky financování projektů v rámci Evropské unie kraj v první fázi uhradí veškeré výdaje projektu. Prostředky určené jako podíl EU, státního rozpočtu nebo SFŽP jsou mu dorovnány po ukončení projektu, popř. etapy projektu zpětně. </t>
  </si>
  <si>
    <t xml:space="preserve">UZ 13233, UZ 33006, 33007, 33012 se jedná o zálohové financování Operačního programu Vzdělávání a konkurenceschopnost. </t>
  </si>
  <si>
    <t>Majetková příspěvkové organizace</t>
  </si>
  <si>
    <t>Příspěvky z vlastních prostředků PK organizacím zřizovaným krajem dle jednotlivých oblastí (v tis. Kč)</t>
  </si>
  <si>
    <t>Majetková organizace</t>
  </si>
  <si>
    <t>okres Plzeň-jih</t>
  </si>
  <si>
    <t>Celkem okres Plzeň-jih</t>
  </si>
  <si>
    <t>okres Plzeň-město</t>
  </si>
  <si>
    <t>Základní umělecká škola Bedřicha Smetany, Plzeň, Revoluční 100 (IČ: 45330221)</t>
  </si>
  <si>
    <t>Celkem okres Plzeň-město</t>
  </si>
  <si>
    <t>okres Plzeň-sever</t>
  </si>
  <si>
    <t>Celkem okres Plzeň-sever</t>
  </si>
  <si>
    <t>Základní umělecká škola, Planá, Dukelských hrdinů 85 (68780702)</t>
  </si>
  <si>
    <t>Základní umělecká škola, Tachov, Rokycanova 1 (IČ:68780699)</t>
  </si>
  <si>
    <t>Muzeum Chodska Domažlice, Chodské náměstí 96 (IČ:00073873)</t>
  </si>
  <si>
    <t>Muzeum Českého lesa v Tachově, tř. Míru 447 (IČ:00076716)</t>
  </si>
  <si>
    <t>Stálá divadelní scéna Klatovy, Denisova 148 (IČ:00075094)</t>
  </si>
  <si>
    <t>Centrum sociálních služeb Domažlice, příspěvková organizace, Baldovská 583 (IČ:75007754)</t>
  </si>
  <si>
    <t>Centrum sociálních služeb Tachov, příspěvková organizace, Americká 242 (IČ:00377805)</t>
  </si>
  <si>
    <t>Domov Harmonie, centrum sociálních služeb Mirošov, přísp. organizace, Skořická 314 (IČ:48379808)</t>
  </si>
  <si>
    <t>Domov důchodců Kdyně, příspěvková organizace, Pod Korábem 669 (IČ:75007746)</t>
  </si>
  <si>
    <t>Domov pro osoby se zdrav. postižením Horní Bříza, přísp. organizace, U Vrbky 486 (IČ:00022578)</t>
  </si>
  <si>
    <t>Domov pro osoby se zdrav. postižením Milíře, příspěvková organizace, Milíře 193 (IČ:48329771)</t>
  </si>
  <si>
    <t>Domov pro osoby se zdrav. postižením Stod, příspěvková organizace, 28. října 377 (IČ:48333841)</t>
  </si>
  <si>
    <t>Domov pro seniory Vlčice, příspěvková organizace, Vlčice 66 (IČ:49180380)</t>
  </si>
  <si>
    <t>Domov sociálních služeb Liblín, příspěvková organizace, Liblín 1 (IČ:48379794)</t>
  </si>
  <si>
    <t>Nemocnice Domažlice, Hořejší Předměstí, Kozinova 292 (IČ:00073822)</t>
  </si>
  <si>
    <t>Nemocnice Planá</t>
  </si>
  <si>
    <t>Nemocnice Plzeňského kraje, Plzeň 3, Jižní Předměstí, Škroupova 1760/18 (IČ:00574791)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</si>
</sst>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_ ;\-#,##0.00\ "/>
  </numFmts>
  <fonts count="78">
    <font>
      <sz val="10"/>
      <name val="Arial"/>
    </font>
    <font>
      <b/>
      <u/>
      <sz val="14"/>
      <name val="Arial CE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MS Sans Serif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MS Sans Serif"/>
      <family val="2"/>
      <charset val="238"/>
    </font>
    <font>
      <b/>
      <u/>
      <sz val="12"/>
      <name val="Arial"/>
      <family val="2"/>
      <charset val="238"/>
    </font>
    <font>
      <b/>
      <u/>
      <sz val="14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u/>
      <sz val="14"/>
      <name val="Arial"/>
      <family val="2"/>
      <charset val="238"/>
    </font>
    <font>
      <b/>
      <sz val="8"/>
      <name val="Tahoma"/>
      <family val="2"/>
      <charset val="238"/>
    </font>
    <font>
      <i/>
      <sz val="8"/>
      <name val="Tahoma"/>
      <family val="2"/>
      <charset val="238"/>
    </font>
    <font>
      <sz val="8"/>
      <name val="Tahoma"/>
      <family val="2"/>
      <charset val="238"/>
    </font>
    <font>
      <i/>
      <sz val="7"/>
      <name val="Tahoma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 CE"/>
      <charset val="238"/>
    </font>
    <font>
      <b/>
      <sz val="10"/>
      <color indexed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u/>
      <sz val="12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9"/>
      <name val="Arial CE"/>
      <charset val="238"/>
    </font>
    <font>
      <b/>
      <i/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MS Sans Serif"/>
      <family val="2"/>
      <charset val="238"/>
    </font>
    <font>
      <sz val="7"/>
      <name val="Arial"/>
      <family val="2"/>
      <charset val="238"/>
    </font>
    <font>
      <sz val="16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color indexed="8"/>
      <name val="Arial CE"/>
      <charset val="238"/>
    </font>
    <font>
      <sz val="8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8"/>
      <name val="Arial CE"/>
      <family val="2"/>
      <charset val="238"/>
    </font>
    <font>
      <sz val="10"/>
      <color indexed="8"/>
      <name val="Arial CE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Arial CE"/>
      <family val="2"/>
      <charset val="238"/>
    </font>
    <font>
      <b/>
      <u/>
      <sz val="10"/>
      <name val="Arial CE"/>
      <charset val="238"/>
    </font>
    <font>
      <sz val="10"/>
      <color indexed="12"/>
      <name val="Arial CE"/>
      <charset val="238"/>
    </font>
    <font>
      <b/>
      <u/>
      <sz val="10"/>
      <color indexed="48"/>
      <name val="Arial CE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</font>
    <font>
      <b/>
      <sz val="11"/>
      <name val="MS Sans Serif"/>
      <family val="2"/>
      <charset val="238"/>
    </font>
    <font>
      <b/>
      <sz val="11"/>
      <name val="Arial"/>
    </font>
    <font>
      <b/>
      <sz val="11"/>
      <name val="MS Sans Serif"/>
      <charset val="1"/>
    </font>
    <font>
      <sz val="11"/>
      <name val="Arial"/>
    </font>
    <font>
      <b/>
      <sz val="12"/>
      <name val="MS Sans Serif"/>
      <family val="2"/>
      <charset val="238"/>
    </font>
    <font>
      <sz val="10"/>
      <name val="MS Sans Serif"/>
      <family val="2"/>
      <charset val="238"/>
    </font>
    <font>
      <sz val="10"/>
      <name val="MS Sans Serif"/>
      <charset val="1"/>
    </font>
    <font>
      <b/>
      <sz val="10"/>
      <name val="MS Sans Serif"/>
      <family val="2"/>
      <charset val="238"/>
    </font>
    <font>
      <sz val="8"/>
      <color indexed="10"/>
      <name val="MS Sans Serif"/>
      <family val="2"/>
      <charset val="238"/>
    </font>
    <font>
      <sz val="12"/>
      <name val="Arial"/>
      <family val="2"/>
      <charset val="238"/>
    </font>
    <font>
      <b/>
      <sz val="12"/>
      <name val="MS Sans Serif"/>
      <charset val="1"/>
    </font>
    <font>
      <sz val="8"/>
      <name val="Comic Sans MS"/>
      <family val="4"/>
      <charset val="238"/>
    </font>
    <font>
      <b/>
      <sz val="10"/>
      <name val="Arial"/>
    </font>
    <font>
      <b/>
      <sz val="12"/>
      <name val="Arial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7"/>
      <name val="MS Sans Serif"/>
      <family val="2"/>
      <charset val="238"/>
    </font>
    <font>
      <b/>
      <sz val="7"/>
      <name val="Arial"/>
      <family val="2"/>
      <charset val="238"/>
    </font>
    <font>
      <b/>
      <sz val="7"/>
      <name val="MS Sans Serif"/>
      <family val="2"/>
      <charset val="238"/>
    </font>
    <font>
      <b/>
      <u/>
      <sz val="10"/>
      <name val="Arial CE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31" fillId="0" borderId="0"/>
    <xf numFmtId="0" fontId="43" fillId="0" borderId="0"/>
    <xf numFmtId="9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</cellStyleXfs>
  <cellXfs count="129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4" fontId="5" fillId="0" borderId="6" xfId="0" applyNumberFormat="1" applyFont="1" applyFill="1" applyBorder="1" applyAlignment="1" applyProtection="1">
      <alignment horizontal="right" vertical="center" wrapText="1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righ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14" fontId="5" fillId="0" borderId="10" xfId="0" applyNumberFormat="1" applyFont="1" applyFill="1" applyBorder="1" applyAlignment="1" applyProtection="1">
      <alignment horizontal="right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righ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4" fontId="5" fillId="0" borderId="14" xfId="0" applyNumberFormat="1" applyFont="1" applyFill="1" applyBorder="1" applyAlignment="1" applyProtection="1">
      <alignment horizontal="right" vertical="center" wrapText="1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4" fontId="5" fillId="0" borderId="15" xfId="0" applyNumberFormat="1" applyFont="1" applyFill="1" applyBorder="1" applyAlignment="1" applyProtection="1">
      <alignment horizontal="right"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 textRotation="90"/>
    </xf>
    <xf numFmtId="14" fontId="5" fillId="0" borderId="0" xfId="0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/>
    <xf numFmtId="0" fontId="2" fillId="2" borderId="17" xfId="0" applyNumberFormat="1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4" fontId="5" fillId="0" borderId="22" xfId="0" applyNumberFormat="1" applyFont="1" applyFill="1" applyBorder="1" applyAlignment="1" applyProtection="1">
      <alignment horizontal="right" vertical="center" wrapText="1"/>
    </xf>
    <xf numFmtId="0" fontId="5" fillId="0" borderId="23" xfId="0" applyNumberFormat="1" applyFont="1" applyFill="1" applyBorder="1" applyAlignment="1" applyProtection="1">
      <alignment horizontal="left" vertical="center" wrapText="1"/>
    </xf>
    <xf numFmtId="0" fontId="5" fillId="0" borderId="24" xfId="0" applyNumberFormat="1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horizontal="center" vertical="center" textRotation="90"/>
    </xf>
    <xf numFmtId="0" fontId="0" fillId="0" borderId="26" xfId="0" applyBorder="1"/>
    <xf numFmtId="14" fontId="5" fillId="0" borderId="27" xfId="0" applyNumberFormat="1" applyFont="1" applyFill="1" applyBorder="1" applyAlignment="1" applyProtection="1">
      <alignment horizontal="right" vertical="center" wrapText="1"/>
    </xf>
    <xf numFmtId="49" fontId="5" fillId="0" borderId="28" xfId="0" applyNumberFormat="1" applyFont="1" applyFill="1" applyBorder="1" applyAlignment="1" applyProtection="1">
      <alignment horizontal="center" vertical="center" wrapText="1"/>
    </xf>
    <xf numFmtId="14" fontId="5" fillId="0" borderId="29" xfId="0" applyNumberFormat="1" applyFont="1" applyFill="1" applyBorder="1" applyAlignment="1" applyProtection="1">
      <alignment horizontal="right" vertical="center" wrapText="1"/>
    </xf>
    <xf numFmtId="49" fontId="5" fillId="0" borderId="22" xfId="0" applyNumberFormat="1" applyFont="1" applyFill="1" applyBorder="1" applyAlignment="1" applyProtection="1">
      <alignment horizontal="center" vertical="center" wrapText="1"/>
    </xf>
    <xf numFmtId="0" fontId="2" fillId="2" borderId="30" xfId="0" applyNumberFormat="1" applyFont="1" applyFill="1" applyBorder="1" applyAlignment="1" applyProtection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</xf>
    <xf numFmtId="0" fontId="5" fillId="0" borderId="31" xfId="0" applyNumberFormat="1" applyFont="1" applyFill="1" applyBorder="1" applyAlignment="1" applyProtection="1">
      <alignment horizontal="center" vertical="center" wrapText="1"/>
    </xf>
    <xf numFmtId="4" fontId="3" fillId="0" borderId="22" xfId="0" applyNumberFormat="1" applyFont="1" applyFill="1" applyBorder="1" applyAlignment="1" applyProtection="1">
      <alignment horizontal="right" vertical="center" wrapText="1"/>
    </xf>
    <xf numFmtId="0" fontId="3" fillId="0" borderId="23" xfId="0" applyNumberFormat="1" applyFont="1" applyFill="1" applyBorder="1" applyAlignment="1" applyProtection="1">
      <alignment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5" fillId="0" borderId="28" xfId="0" applyNumberFormat="1" applyFont="1" applyFill="1" applyBorder="1" applyAlignment="1" applyProtection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right" vertical="center" wrapText="1"/>
    </xf>
    <xf numFmtId="0" fontId="3" fillId="0" borderId="12" xfId="0" applyNumberFormat="1" applyFont="1" applyFill="1" applyBorder="1" applyAlignment="1" applyProtection="1">
      <alignment vertical="center" wrapText="1"/>
    </xf>
    <xf numFmtId="0" fontId="3" fillId="0" borderId="24" xfId="0" applyNumberFormat="1" applyFont="1" applyFill="1" applyBorder="1" applyAlignment="1" applyProtection="1">
      <alignment horizontal="center" vertical="center" wrapText="1"/>
    </xf>
    <xf numFmtId="4" fontId="3" fillId="0" borderId="15" xfId="0" applyNumberFormat="1" applyFont="1" applyFill="1" applyBorder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vertical="center" wrapText="1"/>
    </xf>
    <xf numFmtId="14" fontId="5" fillId="0" borderId="32" xfId="0" applyNumberFormat="1" applyFont="1" applyFill="1" applyBorder="1" applyAlignment="1" applyProtection="1">
      <alignment horizontal="right" vertical="center" wrapText="1"/>
    </xf>
    <xf numFmtId="49" fontId="5" fillId="0" borderId="31" xfId="0" applyNumberFormat="1" applyFont="1" applyFill="1" applyBorder="1" applyAlignment="1" applyProtection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" vertical="center" wrapText="1"/>
    </xf>
    <xf numFmtId="4" fontId="3" fillId="0" borderId="31" xfId="0" applyNumberFormat="1" applyFont="1" applyFill="1" applyBorder="1" applyAlignment="1" applyProtection="1">
      <alignment horizontal="right" vertical="center" wrapText="1"/>
    </xf>
    <xf numFmtId="0" fontId="3" fillId="0" borderId="34" xfId="0" applyNumberFormat="1" applyFont="1" applyFill="1" applyBorder="1" applyAlignment="1" applyProtection="1">
      <alignment vertical="center" wrapText="1"/>
    </xf>
    <xf numFmtId="0" fontId="3" fillId="0" borderId="35" xfId="0" applyNumberFormat="1" applyFont="1" applyFill="1" applyBorder="1" applyAlignment="1" applyProtection="1">
      <alignment horizontal="center" vertical="center" wrapText="1"/>
    </xf>
    <xf numFmtId="4" fontId="3" fillId="0" borderId="28" xfId="0" applyNumberFormat="1" applyFont="1" applyFill="1" applyBorder="1" applyAlignment="1" applyProtection="1">
      <alignment horizontal="right" vertical="center" wrapText="1"/>
    </xf>
    <xf numFmtId="0" fontId="3" fillId="0" borderId="36" xfId="0" applyNumberFormat="1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vertical="center" textRotation="90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14" fontId="5" fillId="0" borderId="37" xfId="0" applyNumberFormat="1" applyFont="1" applyFill="1" applyBorder="1" applyAlignment="1" applyProtection="1">
      <alignment horizontal="right" vertical="center" wrapText="1"/>
    </xf>
    <xf numFmtId="14" fontId="5" fillId="0" borderId="38" xfId="0" applyNumberFormat="1" applyFont="1" applyFill="1" applyBorder="1" applyAlignment="1" applyProtection="1">
      <alignment horizontal="righ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</xf>
    <xf numFmtId="0" fontId="3" fillId="0" borderId="8" xfId="0" applyNumberFormat="1" applyFont="1" applyFill="1" applyBorder="1" applyAlignment="1" applyProtection="1">
      <alignment vertical="center" wrapText="1"/>
    </xf>
    <xf numFmtId="0" fontId="2" fillId="2" borderId="39" xfId="0" applyNumberFormat="1" applyFont="1" applyFill="1" applyBorder="1" applyAlignment="1" applyProtection="1">
      <alignment horizontal="center" vertical="center" wrapText="1"/>
    </xf>
    <xf numFmtId="0" fontId="2" fillId="2" borderId="40" xfId="0" applyNumberFormat="1" applyFont="1" applyFill="1" applyBorder="1" applyAlignment="1" applyProtection="1">
      <alignment horizontal="center" vertical="center" wrapText="1"/>
    </xf>
    <xf numFmtId="0" fontId="2" fillId="2" borderId="41" xfId="0" applyNumberFormat="1" applyFont="1" applyFill="1" applyBorder="1" applyAlignment="1" applyProtection="1">
      <alignment horizontal="center" vertical="center" wrapText="1"/>
    </xf>
    <xf numFmtId="0" fontId="2" fillId="2" borderId="42" xfId="0" applyNumberFormat="1" applyFont="1" applyFill="1" applyBorder="1" applyAlignment="1" applyProtection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left" vertical="center" wrapText="1"/>
    </xf>
    <xf numFmtId="4" fontId="5" fillId="0" borderId="28" xfId="0" applyNumberFormat="1" applyFont="1" applyFill="1" applyBorder="1" applyAlignment="1" applyProtection="1">
      <alignment horizontal="right" vertical="center" wrapText="1"/>
    </xf>
    <xf numFmtId="0" fontId="5" fillId="0" borderId="46" xfId="0" applyNumberFormat="1" applyFont="1" applyFill="1" applyBorder="1" applyAlignment="1" applyProtection="1">
      <alignment horizontal="center" vertical="center" wrapText="1"/>
    </xf>
    <xf numFmtId="4" fontId="5" fillId="0" borderId="47" xfId="0" applyNumberFormat="1" applyFont="1" applyFill="1" applyBorder="1" applyAlignment="1" applyProtection="1">
      <alignment horizontal="right" vertical="center" wrapText="1"/>
    </xf>
    <xf numFmtId="4" fontId="5" fillId="0" borderId="2" xfId="0" applyNumberFormat="1" applyFont="1" applyFill="1" applyBorder="1" applyAlignment="1" applyProtection="1">
      <alignment horizontal="right" vertical="center" wrapText="1"/>
    </xf>
    <xf numFmtId="0" fontId="3" fillId="0" borderId="42" xfId="0" applyNumberFormat="1" applyFont="1" applyFill="1" applyBorder="1" applyAlignment="1" applyProtection="1">
      <alignment vertical="center" wrapText="1"/>
    </xf>
    <xf numFmtId="4" fontId="5" fillId="0" borderId="31" xfId="0" applyNumberFormat="1" applyFont="1" applyFill="1" applyBorder="1" applyAlignment="1" applyProtection="1">
      <alignment horizontal="right" vertical="center" wrapText="1"/>
    </xf>
    <xf numFmtId="0" fontId="4" fillId="0" borderId="26" xfId="0" applyFont="1" applyBorder="1" applyAlignment="1">
      <alignment vertical="center" textRotation="90"/>
    </xf>
    <xf numFmtId="4" fontId="8" fillId="2" borderId="50" xfId="0" applyNumberFormat="1" applyFont="1" applyFill="1" applyBorder="1" applyAlignment="1" applyProtection="1">
      <alignment horizontal="right" vertical="top" wrapText="1"/>
    </xf>
    <xf numFmtId="0" fontId="7" fillId="2" borderId="51" xfId="0" applyFont="1" applyFill="1" applyBorder="1"/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left" vertical="center" wrapText="1"/>
    </xf>
    <xf numFmtId="0" fontId="12" fillId="0" borderId="7" xfId="0" applyNumberFormat="1" applyFont="1" applyFill="1" applyBorder="1" applyAlignment="1" applyProtection="1">
      <alignment horizontal="right" vertical="center" wrapText="1"/>
    </xf>
    <xf numFmtId="4" fontId="12" fillId="0" borderId="7" xfId="0" applyNumberFormat="1" applyFont="1" applyFill="1" applyBorder="1" applyAlignment="1" applyProtection="1">
      <alignment horizontal="right" vertical="center" wrapText="1"/>
    </xf>
    <xf numFmtId="4" fontId="12" fillId="0" borderId="7" xfId="0" applyNumberFormat="1" applyFont="1" applyFill="1" applyBorder="1" applyAlignment="1">
      <alignment vertical="center"/>
    </xf>
    <xf numFmtId="10" fontId="12" fillId="0" borderId="8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left" vertical="center" wrapText="1"/>
    </xf>
    <xf numFmtId="0" fontId="12" fillId="0" borderId="11" xfId="0" applyNumberFormat="1" applyFont="1" applyFill="1" applyBorder="1" applyAlignment="1" applyProtection="1">
      <alignment horizontal="right" vertical="center" wrapText="1"/>
    </xf>
    <xf numFmtId="4" fontId="12" fillId="0" borderId="11" xfId="0" applyNumberFormat="1" applyFont="1" applyFill="1" applyBorder="1" applyAlignment="1" applyProtection="1">
      <alignment horizontal="right" vertical="center" wrapText="1"/>
    </xf>
    <xf numFmtId="4" fontId="12" fillId="0" borderId="11" xfId="0" applyNumberFormat="1" applyFont="1" applyFill="1" applyBorder="1" applyAlignment="1">
      <alignment vertical="center"/>
    </xf>
    <xf numFmtId="10" fontId="12" fillId="0" borderId="12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 applyProtection="1">
      <alignment horizontal="center" vertical="center" wrapText="1"/>
    </xf>
    <xf numFmtId="0" fontId="12" fillId="0" borderId="28" xfId="0" applyNumberFormat="1" applyFont="1" applyFill="1" applyBorder="1" applyAlignment="1" applyProtection="1">
      <alignment horizontal="left" vertical="center" wrapText="1"/>
    </xf>
    <xf numFmtId="0" fontId="12" fillId="0" borderId="28" xfId="0" applyNumberFormat="1" applyFont="1" applyFill="1" applyBorder="1" applyAlignment="1" applyProtection="1">
      <alignment horizontal="right" vertical="center" wrapText="1"/>
    </xf>
    <xf numFmtId="4" fontId="12" fillId="0" borderId="28" xfId="0" applyNumberFormat="1" applyFont="1" applyFill="1" applyBorder="1" applyAlignment="1" applyProtection="1">
      <alignment horizontal="right" vertical="center" wrapText="1"/>
    </xf>
    <xf numFmtId="4" fontId="12" fillId="0" borderId="28" xfId="0" applyNumberFormat="1" applyFont="1" applyFill="1" applyBorder="1" applyAlignment="1">
      <alignment vertical="center"/>
    </xf>
    <xf numFmtId="10" fontId="12" fillId="0" borderId="36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 applyProtection="1">
      <alignment horizontal="right" vertical="center" wrapText="1"/>
    </xf>
    <xf numFmtId="10" fontId="6" fillId="3" borderId="52" xfId="0" applyNumberFormat="1" applyFont="1" applyFill="1" applyBorder="1" applyAlignment="1">
      <alignment horizontal="right" vertical="center"/>
    </xf>
    <xf numFmtId="0" fontId="12" fillId="0" borderId="29" xfId="0" applyNumberFormat="1" applyFont="1" applyFill="1" applyBorder="1" applyAlignment="1" applyProtection="1">
      <alignment horizontal="center" vertical="center" wrapText="1"/>
    </xf>
    <xf numFmtId="0" fontId="12" fillId="0" borderId="22" xfId="0" applyNumberFormat="1" applyFont="1" applyFill="1" applyBorder="1" applyAlignment="1" applyProtection="1">
      <alignment horizontal="left" vertical="center" wrapText="1"/>
    </xf>
    <xf numFmtId="0" fontId="12" fillId="0" borderId="22" xfId="0" applyNumberFormat="1" applyFont="1" applyFill="1" applyBorder="1" applyAlignment="1" applyProtection="1">
      <alignment horizontal="right" vertical="center" wrapText="1"/>
    </xf>
    <xf numFmtId="4" fontId="12" fillId="0" borderId="22" xfId="0" applyNumberFormat="1" applyFont="1" applyFill="1" applyBorder="1" applyAlignment="1" applyProtection="1">
      <alignment horizontal="right" vertical="center" wrapText="1"/>
    </xf>
    <xf numFmtId="4" fontId="12" fillId="0" borderId="22" xfId="0" applyNumberFormat="1" applyFont="1" applyFill="1" applyBorder="1" applyAlignment="1">
      <alignment vertical="center"/>
    </xf>
    <xf numFmtId="10" fontId="12" fillId="0" borderId="23" xfId="0" applyNumberFormat="1" applyFont="1" applyFill="1" applyBorder="1" applyAlignment="1">
      <alignment horizontal="center" vertical="center"/>
    </xf>
    <xf numFmtId="4" fontId="11" fillId="4" borderId="50" xfId="0" applyNumberFormat="1" applyFont="1" applyFill="1" applyBorder="1" applyAlignment="1" applyProtection="1">
      <alignment horizontal="right" vertical="center" wrapText="1"/>
    </xf>
    <xf numFmtId="4" fontId="11" fillId="4" borderId="3" xfId="0" applyNumberFormat="1" applyFont="1" applyFill="1" applyBorder="1" applyAlignment="1" applyProtection="1">
      <alignment horizontal="right" vertical="center" wrapText="1"/>
    </xf>
    <xf numFmtId="10" fontId="11" fillId="4" borderId="26" xfId="0" applyNumberFormat="1" applyFont="1" applyFill="1" applyBorder="1" applyAlignment="1">
      <alignment horizontal="right" vertical="center"/>
    </xf>
    <xf numFmtId="4" fontId="11" fillId="5" borderId="3" xfId="0" applyNumberFormat="1" applyFont="1" applyFill="1" applyBorder="1" applyAlignment="1" applyProtection="1">
      <alignment horizontal="center" vertical="center" wrapText="1"/>
    </xf>
    <xf numFmtId="10" fontId="11" fillId="5" borderId="4" xfId="0" applyNumberFormat="1" applyFont="1" applyFill="1" applyBorder="1" applyAlignment="1">
      <alignment horizontal="center" vertical="center"/>
    </xf>
    <xf numFmtId="0" fontId="13" fillId="0" borderId="0" xfId="1"/>
    <xf numFmtId="0" fontId="10" fillId="0" borderId="0" xfId="1" applyFont="1" applyAlignment="1">
      <alignment horizontal="center"/>
    </xf>
    <xf numFmtId="0" fontId="15" fillId="2" borderId="1" xfId="1" applyNumberFormat="1" applyFont="1" applyFill="1" applyBorder="1" applyAlignment="1" applyProtection="1">
      <alignment horizontal="center" vertical="center" wrapText="1"/>
    </xf>
    <xf numFmtId="0" fontId="15" fillId="2" borderId="3" xfId="1" applyNumberFormat="1" applyFont="1" applyFill="1" applyBorder="1" applyAlignment="1" applyProtection="1">
      <alignment horizontal="center" vertical="center" wrapText="1"/>
    </xf>
    <xf numFmtId="0" fontId="15" fillId="2" borderId="4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vertical="top" wrapText="1"/>
    </xf>
    <xf numFmtId="0" fontId="7" fillId="0" borderId="0" xfId="1" applyFont="1" applyAlignment="1">
      <alignment horizontal="center"/>
    </xf>
    <xf numFmtId="0" fontId="16" fillId="0" borderId="29" xfId="1" applyNumberFormat="1" applyFont="1" applyFill="1" applyBorder="1" applyAlignment="1" applyProtection="1">
      <alignment horizontal="left" vertical="top" wrapText="1"/>
    </xf>
    <xf numFmtId="4" fontId="17" fillId="0" borderId="22" xfId="1" applyNumberFormat="1" applyFont="1" applyFill="1" applyBorder="1" applyAlignment="1" applyProtection="1">
      <alignment horizontal="right" vertical="top" wrapText="1"/>
    </xf>
    <xf numFmtId="10" fontId="17" fillId="0" borderId="23" xfId="1" applyNumberFormat="1" applyFont="1" applyFill="1" applyBorder="1" applyAlignment="1" applyProtection="1">
      <alignment horizontal="right" vertical="top" wrapText="1"/>
    </xf>
    <xf numFmtId="4" fontId="17" fillId="0" borderId="0" xfId="1" applyNumberFormat="1" applyFont="1" applyFill="1" applyBorder="1" applyAlignment="1" applyProtection="1">
      <alignment horizontal="right" vertical="top" wrapText="1"/>
    </xf>
    <xf numFmtId="10" fontId="17" fillId="0" borderId="0" xfId="1" applyNumberFormat="1" applyFont="1" applyFill="1" applyBorder="1" applyAlignment="1" applyProtection="1">
      <alignment horizontal="right" vertical="top" wrapText="1"/>
    </xf>
    <xf numFmtId="0" fontId="16" fillId="0" borderId="10" xfId="1" applyNumberFormat="1" applyFont="1" applyFill="1" applyBorder="1" applyAlignment="1" applyProtection="1">
      <alignment horizontal="left" vertical="top" wrapText="1"/>
    </xf>
    <xf numFmtId="4" fontId="17" fillId="0" borderId="11" xfId="1" applyNumberFormat="1" applyFont="1" applyFill="1" applyBorder="1" applyAlignment="1" applyProtection="1">
      <alignment horizontal="right" vertical="top" wrapText="1"/>
    </xf>
    <xf numFmtId="10" fontId="17" fillId="0" borderId="12" xfId="1" applyNumberFormat="1" applyFont="1" applyFill="1" applyBorder="1" applyAlignment="1" applyProtection="1">
      <alignment horizontal="right" vertical="top" wrapText="1"/>
    </xf>
    <xf numFmtId="0" fontId="16" fillId="0" borderId="27" xfId="1" applyNumberFormat="1" applyFont="1" applyFill="1" applyBorder="1" applyAlignment="1" applyProtection="1">
      <alignment horizontal="left" vertical="top" wrapText="1"/>
    </xf>
    <xf numFmtId="4" fontId="17" fillId="0" borderId="28" xfId="1" applyNumberFormat="1" applyFont="1" applyFill="1" applyBorder="1" applyAlignment="1" applyProtection="1">
      <alignment horizontal="right" vertical="top" wrapText="1"/>
    </xf>
    <xf numFmtId="10" fontId="17" fillId="0" borderId="36" xfId="1" applyNumberFormat="1" applyFont="1" applyFill="1" applyBorder="1" applyAlignment="1" applyProtection="1">
      <alignment horizontal="right" vertical="top" wrapText="1"/>
    </xf>
    <xf numFmtId="0" fontId="15" fillId="3" borderId="1" xfId="1" applyNumberFormat="1" applyFont="1" applyFill="1" applyBorder="1" applyAlignment="1" applyProtection="1">
      <alignment horizontal="left" vertical="center" wrapText="1"/>
    </xf>
    <xf numFmtId="4" fontId="15" fillId="3" borderId="3" xfId="1" applyNumberFormat="1" applyFont="1" applyFill="1" applyBorder="1" applyAlignment="1" applyProtection="1">
      <alignment horizontal="right" vertical="center" wrapText="1"/>
    </xf>
    <xf numFmtId="10" fontId="2" fillId="3" borderId="4" xfId="1" applyNumberFormat="1" applyFont="1" applyFill="1" applyBorder="1" applyAlignment="1" applyProtection="1">
      <alignment horizontal="right" vertical="center" wrapText="1"/>
    </xf>
    <xf numFmtId="4" fontId="15" fillId="0" borderId="0" xfId="1" applyNumberFormat="1" applyFont="1" applyFill="1" applyBorder="1" applyAlignment="1" applyProtection="1">
      <alignment horizontal="right" vertical="center" wrapText="1"/>
    </xf>
    <xf numFmtId="10" fontId="15" fillId="0" borderId="0" xfId="1" applyNumberFormat="1" applyFont="1" applyFill="1" applyBorder="1" applyAlignment="1" applyProtection="1">
      <alignment horizontal="right" vertical="center" wrapText="1"/>
    </xf>
    <xf numFmtId="0" fontId="7" fillId="0" borderId="0" xfId="1" applyFont="1" applyAlignment="1">
      <alignment vertical="center"/>
    </xf>
    <xf numFmtId="10" fontId="17" fillId="0" borderId="22" xfId="1" applyNumberFormat="1" applyFont="1" applyFill="1" applyBorder="1" applyAlignment="1" applyProtection="1">
      <alignment horizontal="right" vertical="top" wrapText="1"/>
    </xf>
    <xf numFmtId="10" fontId="3" fillId="0" borderId="23" xfId="1" applyNumberFormat="1" applyFont="1" applyBorder="1"/>
    <xf numFmtId="10" fontId="17" fillId="0" borderId="11" xfId="1" applyNumberFormat="1" applyFont="1" applyFill="1" applyBorder="1" applyAlignment="1" applyProtection="1">
      <alignment horizontal="right" vertical="top" wrapText="1"/>
    </xf>
    <xf numFmtId="10" fontId="3" fillId="0" borderId="12" xfId="1" applyNumberFormat="1" applyFont="1" applyBorder="1"/>
    <xf numFmtId="10" fontId="17" fillId="0" borderId="28" xfId="1" applyNumberFormat="1" applyFont="1" applyFill="1" applyBorder="1" applyAlignment="1" applyProtection="1">
      <alignment horizontal="right" vertical="top" wrapText="1"/>
    </xf>
    <xf numFmtId="10" fontId="3" fillId="0" borderId="36" xfId="1" applyNumberFormat="1" applyFont="1" applyBorder="1"/>
    <xf numFmtId="10" fontId="2" fillId="3" borderId="3" xfId="1" applyNumberFormat="1" applyFont="1" applyFill="1" applyBorder="1" applyAlignment="1" applyProtection="1">
      <alignment horizontal="right" vertical="center" wrapText="1"/>
    </xf>
    <xf numFmtId="0" fontId="13" fillId="0" borderId="0" xfId="1" applyAlignment="1">
      <alignment vertical="center"/>
    </xf>
    <xf numFmtId="0" fontId="18" fillId="0" borderId="25" xfId="1" applyNumberFormat="1" applyFont="1" applyFill="1" applyBorder="1" applyAlignment="1" applyProtection="1">
      <alignment horizontal="left" vertical="center" wrapText="1"/>
    </xf>
    <xf numFmtId="0" fontId="20" fillId="0" borderId="0" xfId="3"/>
    <xf numFmtId="0" fontId="19" fillId="2" borderId="1" xfId="2" applyFont="1" applyFill="1" applyBorder="1" applyAlignment="1">
      <alignment horizontal="center" vertical="center" wrapText="1"/>
    </xf>
    <xf numFmtId="0" fontId="19" fillId="2" borderId="3" xfId="2" applyFont="1" applyFill="1" applyBorder="1" applyAlignment="1">
      <alignment horizontal="center" vertical="center"/>
    </xf>
    <xf numFmtId="0" fontId="19" fillId="2" borderId="30" xfId="2" applyFont="1" applyFill="1" applyBorder="1" applyAlignment="1">
      <alignment horizontal="center" vertical="center" wrapText="1"/>
    </xf>
    <xf numFmtId="0" fontId="19" fillId="2" borderId="4" xfId="2" applyFont="1" applyFill="1" applyBorder="1" applyAlignment="1">
      <alignment horizontal="center" vertical="center" wrapText="1"/>
    </xf>
    <xf numFmtId="0" fontId="12" fillId="0" borderId="28" xfId="2" applyFont="1" applyBorder="1" applyAlignment="1">
      <alignment horizontal="left" vertical="center" wrapText="1"/>
    </xf>
    <xf numFmtId="0" fontId="21" fillId="0" borderId="0" xfId="3" applyFont="1"/>
    <xf numFmtId="0" fontId="12" fillId="0" borderId="31" xfId="2" applyFont="1" applyBorder="1" applyAlignment="1">
      <alignment horizontal="left" vertical="center" wrapText="1"/>
    </xf>
    <xf numFmtId="0" fontId="21" fillId="0" borderId="0" xfId="3" applyFont="1" applyFill="1"/>
    <xf numFmtId="0" fontId="12" fillId="0" borderId="22" xfId="2" applyFont="1" applyBorder="1" applyAlignment="1">
      <alignment horizontal="left" vertical="center" wrapText="1"/>
    </xf>
    <xf numFmtId="0" fontId="12" fillId="0" borderId="54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2" fillId="0" borderId="55" xfId="2" applyFont="1" applyBorder="1" applyAlignment="1">
      <alignment horizontal="left" vertical="center" wrapText="1"/>
    </xf>
    <xf numFmtId="4" fontId="22" fillId="4" borderId="30" xfId="2" applyNumberFormat="1" applyFont="1" applyFill="1" applyBorder="1" applyAlignment="1">
      <alignment horizontal="right" vertical="center"/>
    </xf>
    <xf numFmtId="4" fontId="23" fillId="4" borderId="4" xfId="2" applyNumberFormat="1" applyFont="1" applyFill="1" applyBorder="1" applyAlignment="1">
      <alignment horizontal="center" vertical="center"/>
    </xf>
    <xf numFmtId="0" fontId="13" fillId="0" borderId="0" xfId="2"/>
    <xf numFmtId="0" fontId="6" fillId="0" borderId="0" xfId="2" applyFont="1" applyFill="1" applyBorder="1" applyAlignment="1">
      <alignment wrapText="1"/>
    </xf>
    <xf numFmtId="0" fontId="25" fillId="0" borderId="0" xfId="3" applyFont="1"/>
    <xf numFmtId="0" fontId="13" fillId="0" borderId="0" xfId="4"/>
    <xf numFmtId="4" fontId="13" fillId="0" borderId="0" xfId="4" applyNumberFormat="1"/>
    <xf numFmtId="0" fontId="28" fillId="0" borderId="0" xfId="4" applyFont="1"/>
    <xf numFmtId="0" fontId="22" fillId="0" borderId="0" xfId="4" applyFont="1"/>
    <xf numFmtId="4" fontId="12" fillId="0" borderId="22" xfId="0" applyNumberFormat="1" applyFont="1" applyBorder="1" applyAlignment="1">
      <alignment vertical="center"/>
    </xf>
    <xf numFmtId="10" fontId="12" fillId="0" borderId="23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10" fontId="12" fillId="0" borderId="12" xfId="0" applyNumberFormat="1" applyFont="1" applyBorder="1" applyAlignment="1">
      <alignment vertical="center"/>
    </xf>
    <xf numFmtId="4" fontId="12" fillId="0" borderId="28" xfId="0" applyNumberFormat="1" applyFont="1" applyBorder="1" applyAlignment="1">
      <alignment vertical="center"/>
    </xf>
    <xf numFmtId="10" fontId="12" fillId="0" borderId="36" xfId="0" applyNumberFormat="1" applyFont="1" applyBorder="1" applyAlignment="1">
      <alignment vertical="center"/>
    </xf>
    <xf numFmtId="0" fontId="30" fillId="0" borderId="3" xfId="0" applyNumberFormat="1" applyFont="1" applyFill="1" applyBorder="1" applyAlignment="1" applyProtection="1">
      <alignment horizontal="right" vertical="center" wrapText="1"/>
    </xf>
    <xf numFmtId="4" fontId="30" fillId="0" borderId="3" xfId="0" applyNumberFormat="1" applyFont="1" applyFill="1" applyBorder="1" applyAlignment="1">
      <alignment vertical="center"/>
    </xf>
    <xf numFmtId="4" fontId="30" fillId="0" borderId="3" xfId="0" applyNumberFormat="1" applyFont="1" applyFill="1" applyBorder="1" applyAlignment="1" applyProtection="1">
      <alignment horizontal="right" vertical="center" wrapText="1"/>
    </xf>
    <xf numFmtId="4" fontId="30" fillId="0" borderId="3" xfId="0" applyNumberFormat="1" applyFont="1" applyBorder="1" applyAlignment="1">
      <alignment vertical="center"/>
    </xf>
    <xf numFmtId="10" fontId="30" fillId="0" borderId="4" xfId="0" applyNumberFormat="1" applyFont="1" applyBorder="1" applyAlignment="1">
      <alignment vertical="center"/>
    </xf>
    <xf numFmtId="0" fontId="6" fillId="4" borderId="50" xfId="0" applyNumberFormat="1" applyFont="1" applyFill="1" applyBorder="1" applyAlignment="1" applyProtection="1">
      <alignment horizontal="right" vertical="center" wrapText="1"/>
    </xf>
    <xf numFmtId="4" fontId="6" fillId="4" borderId="50" xfId="0" applyNumberFormat="1" applyFont="1" applyFill="1" applyBorder="1" applyAlignment="1">
      <alignment vertical="center"/>
    </xf>
    <xf numFmtId="4" fontId="6" fillId="4" borderId="50" xfId="0" applyNumberFormat="1" applyFont="1" applyFill="1" applyBorder="1" applyAlignment="1" applyProtection="1">
      <alignment horizontal="right" vertical="center" wrapText="1"/>
    </xf>
    <xf numFmtId="10" fontId="6" fillId="4" borderId="51" xfId="0" applyNumberFormat="1" applyFont="1" applyFill="1" applyBorder="1" applyAlignment="1">
      <alignment vertical="center"/>
    </xf>
    <xf numFmtId="0" fontId="12" fillId="0" borderId="21" xfId="0" applyNumberFormat="1" applyFont="1" applyFill="1" applyBorder="1" applyAlignment="1" applyProtection="1">
      <alignment horizontal="left" vertical="center" textRotation="90" wrapText="1"/>
    </xf>
    <xf numFmtId="10" fontId="12" fillId="0" borderId="12" xfId="0" applyNumberFormat="1" applyFont="1" applyBorder="1" applyAlignment="1">
      <alignment horizontal="center" vertical="center"/>
    </xf>
    <xf numFmtId="10" fontId="12" fillId="0" borderId="36" xfId="0" applyNumberFormat="1" applyFont="1" applyBorder="1" applyAlignment="1">
      <alignment horizontal="center" vertical="center"/>
    </xf>
    <xf numFmtId="0" fontId="30" fillId="0" borderId="2" xfId="0" applyNumberFormat="1" applyFont="1" applyFill="1" applyBorder="1" applyAlignment="1" applyProtection="1">
      <alignment horizontal="right" vertical="center" wrapText="1"/>
    </xf>
    <xf numFmtId="4" fontId="30" fillId="0" borderId="2" xfId="0" applyNumberFormat="1" applyFont="1" applyFill="1" applyBorder="1" applyAlignment="1">
      <alignment vertical="center"/>
    </xf>
    <xf numFmtId="4" fontId="30" fillId="0" borderId="2" xfId="0" applyNumberFormat="1" applyFont="1" applyFill="1" applyBorder="1" applyAlignment="1" applyProtection="1">
      <alignment horizontal="right" vertical="center" wrapText="1"/>
    </xf>
    <xf numFmtId="4" fontId="30" fillId="0" borderId="2" xfId="0" applyNumberFormat="1" applyFont="1" applyBorder="1" applyAlignment="1">
      <alignment vertical="center"/>
    </xf>
    <xf numFmtId="10" fontId="30" fillId="0" borderId="42" xfId="0" applyNumberFormat="1" applyFont="1" applyBorder="1" applyAlignment="1">
      <alignment vertical="center"/>
    </xf>
    <xf numFmtId="0" fontId="6" fillId="4" borderId="3" xfId="0" applyNumberFormat="1" applyFont="1" applyFill="1" applyBorder="1" applyAlignment="1" applyProtection="1">
      <alignment horizontal="right" vertical="center" wrapText="1"/>
    </xf>
    <xf numFmtId="4" fontId="6" fillId="4" borderId="3" xfId="0" applyNumberFormat="1" applyFont="1" applyFill="1" applyBorder="1" applyAlignment="1">
      <alignment vertical="center"/>
    </xf>
    <xf numFmtId="4" fontId="6" fillId="4" borderId="3" xfId="0" applyNumberFormat="1" applyFont="1" applyFill="1" applyBorder="1" applyAlignment="1" applyProtection="1">
      <alignment horizontal="right" vertical="center" wrapText="1"/>
    </xf>
    <xf numFmtId="10" fontId="6" fillId="4" borderId="4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center" wrapText="1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10" fontId="6" fillId="0" borderId="0" xfId="0" applyNumberFormat="1" applyFont="1" applyFill="1" applyBorder="1" applyAlignment="1">
      <alignment vertical="center"/>
    </xf>
    <xf numFmtId="0" fontId="12" fillId="0" borderId="31" xfId="0" applyNumberFormat="1" applyFont="1" applyFill="1" applyBorder="1" applyAlignment="1" applyProtection="1">
      <alignment horizontal="left" vertical="center" wrapText="1"/>
    </xf>
    <xf numFmtId="0" fontId="12" fillId="0" borderId="31" xfId="0" applyNumberFormat="1" applyFont="1" applyFill="1" applyBorder="1" applyAlignment="1" applyProtection="1">
      <alignment horizontal="right" vertical="center" wrapText="1"/>
    </xf>
    <xf numFmtId="4" fontId="12" fillId="0" borderId="31" xfId="0" applyNumberFormat="1" applyFont="1" applyFill="1" applyBorder="1" applyAlignment="1">
      <alignment vertical="center"/>
    </xf>
    <xf numFmtId="4" fontId="12" fillId="0" borderId="31" xfId="0" applyNumberFormat="1" applyFont="1" applyFill="1" applyBorder="1" applyAlignment="1" applyProtection="1">
      <alignment horizontal="right" vertical="center" wrapText="1"/>
    </xf>
    <xf numFmtId="4" fontId="12" fillId="0" borderId="31" xfId="0" applyNumberFormat="1" applyFont="1" applyBorder="1" applyAlignment="1">
      <alignment vertical="center"/>
    </xf>
    <xf numFmtId="10" fontId="12" fillId="0" borderId="34" xfId="0" applyNumberFormat="1" applyFont="1" applyBorder="1" applyAlignment="1">
      <alignment vertical="center"/>
    </xf>
    <xf numFmtId="0" fontId="12" fillId="0" borderId="21" xfId="0" applyNumberFormat="1" applyFont="1" applyFill="1" applyBorder="1" applyAlignment="1" applyProtection="1">
      <alignment horizontal="center" vertical="center" textRotation="90" wrapText="1"/>
    </xf>
    <xf numFmtId="4" fontId="12" fillId="0" borderId="7" xfId="0" applyNumberFormat="1" applyFont="1" applyBorder="1" applyAlignment="1">
      <alignment vertical="center"/>
    </xf>
    <xf numFmtId="10" fontId="12" fillId="0" borderId="8" xfId="0" applyNumberFormat="1" applyFont="1" applyBorder="1" applyAlignment="1">
      <alignment vertical="center"/>
    </xf>
    <xf numFmtId="0" fontId="12" fillId="0" borderId="15" xfId="0" applyNumberFormat="1" applyFont="1" applyFill="1" applyBorder="1" applyAlignment="1" applyProtection="1">
      <alignment horizontal="left" vertical="center" wrapText="1"/>
    </xf>
    <xf numFmtId="0" fontId="12" fillId="0" borderId="15" xfId="0" applyNumberFormat="1" applyFont="1" applyFill="1" applyBorder="1" applyAlignment="1" applyProtection="1">
      <alignment horizontal="right" vertical="center" wrapText="1"/>
    </xf>
    <xf numFmtId="4" fontId="12" fillId="0" borderId="15" xfId="0" applyNumberFormat="1" applyFont="1" applyFill="1" applyBorder="1" applyAlignment="1">
      <alignment vertical="center"/>
    </xf>
    <xf numFmtId="4" fontId="12" fillId="0" borderId="15" xfId="0" applyNumberFormat="1" applyFont="1" applyFill="1" applyBorder="1" applyAlignment="1" applyProtection="1">
      <alignment horizontal="right" vertical="center" wrapText="1"/>
    </xf>
    <xf numFmtId="4" fontId="12" fillId="0" borderId="15" xfId="0" applyNumberFormat="1" applyFont="1" applyBorder="1" applyAlignment="1">
      <alignment vertical="center"/>
    </xf>
    <xf numFmtId="10" fontId="12" fillId="0" borderId="16" xfId="0" applyNumberFormat="1" applyFont="1" applyBorder="1" applyAlignment="1">
      <alignment vertical="center"/>
    </xf>
    <xf numFmtId="0" fontId="12" fillId="0" borderId="33" xfId="0" applyNumberFormat="1" applyFont="1" applyFill="1" applyBorder="1" applyAlignment="1" applyProtection="1">
      <alignment horizontal="center" vertical="center" textRotation="90" wrapText="1"/>
    </xf>
    <xf numFmtId="0" fontId="12" fillId="0" borderId="33" xfId="0" applyNumberFormat="1" applyFont="1" applyFill="1" applyBorder="1" applyAlignment="1" applyProtection="1">
      <alignment horizontal="left" vertical="center" textRotation="90" wrapText="1"/>
    </xf>
    <xf numFmtId="10" fontId="30" fillId="0" borderId="4" xfId="0" applyNumberFormat="1" applyFont="1" applyBorder="1" applyAlignment="1">
      <alignment horizontal="center" vertical="center"/>
    </xf>
    <xf numFmtId="10" fontId="30" fillId="0" borderId="4" xfId="0" applyNumberFormat="1" applyFont="1" applyBorder="1" applyAlignment="1">
      <alignment horizontal="right" vertical="center"/>
    </xf>
    <xf numFmtId="0" fontId="12" fillId="0" borderId="20" xfId="0" applyNumberFormat="1" applyFont="1" applyFill="1" applyBorder="1" applyAlignment="1" applyProtection="1">
      <alignment horizontal="left" vertical="center" textRotation="90" wrapText="1"/>
    </xf>
    <xf numFmtId="0" fontId="6" fillId="0" borderId="25" xfId="0" applyNumberFormat="1" applyFont="1" applyFill="1" applyBorder="1" applyAlignment="1" applyProtection="1">
      <alignment horizontal="left" vertical="center" wrapText="1"/>
    </xf>
    <xf numFmtId="0" fontId="6" fillId="0" borderId="25" xfId="0" applyNumberFormat="1" applyFont="1" applyFill="1" applyBorder="1" applyAlignment="1" applyProtection="1">
      <alignment horizontal="right" vertical="center" wrapText="1"/>
    </xf>
    <xf numFmtId="4" fontId="6" fillId="0" borderId="25" xfId="0" applyNumberFormat="1" applyFont="1" applyFill="1" applyBorder="1" applyAlignment="1">
      <alignment vertical="center"/>
    </xf>
    <xf numFmtId="4" fontId="6" fillId="0" borderId="25" xfId="0" applyNumberFormat="1" applyFont="1" applyFill="1" applyBorder="1" applyAlignment="1" applyProtection="1">
      <alignment horizontal="right" vertical="center" wrapText="1"/>
    </xf>
    <xf numFmtId="10" fontId="6" fillId="0" borderId="25" xfId="0" applyNumberFormat="1" applyFont="1" applyFill="1" applyBorder="1" applyAlignment="1">
      <alignment vertical="center"/>
    </xf>
    <xf numFmtId="10" fontId="30" fillId="0" borderId="4" xfId="0" applyNumberFormat="1" applyFont="1" applyFill="1" applyBorder="1" applyAlignment="1">
      <alignment vertical="center"/>
    </xf>
    <xf numFmtId="10" fontId="12" fillId="0" borderId="23" xfId="0" applyNumberFormat="1" applyFont="1" applyBorder="1" applyAlignment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 vertical="center" textRotation="90" wrapText="1"/>
    </xf>
    <xf numFmtId="0" fontId="6" fillId="4" borderId="22" xfId="0" applyNumberFormat="1" applyFont="1" applyFill="1" applyBorder="1" applyAlignment="1" applyProtection="1">
      <alignment horizontal="right" vertical="center" wrapText="1"/>
    </xf>
    <xf numFmtId="4" fontId="6" fillId="4" borderId="22" xfId="0" applyNumberFormat="1" applyFont="1" applyFill="1" applyBorder="1" applyAlignment="1">
      <alignment vertical="center"/>
    </xf>
    <xf numFmtId="4" fontId="6" fillId="4" borderId="22" xfId="0" applyNumberFormat="1" applyFont="1" applyFill="1" applyBorder="1" applyAlignment="1" applyProtection="1">
      <alignment horizontal="right" vertical="center" wrapText="1"/>
    </xf>
    <xf numFmtId="10" fontId="6" fillId="4" borderId="23" xfId="0" applyNumberFormat="1" applyFont="1" applyFill="1" applyBorder="1" applyAlignment="1">
      <alignment vertical="center"/>
    </xf>
    <xf numFmtId="0" fontId="12" fillId="0" borderId="35" xfId="0" applyNumberFormat="1" applyFont="1" applyFill="1" applyBorder="1" applyAlignment="1" applyProtection="1">
      <alignment horizontal="center" vertical="center" textRotation="90" wrapText="1"/>
    </xf>
    <xf numFmtId="10" fontId="12" fillId="0" borderId="16" xfId="0" applyNumberFormat="1" applyFont="1" applyBorder="1" applyAlignment="1">
      <alignment horizontal="center" vertical="center"/>
    </xf>
    <xf numFmtId="0" fontId="6" fillId="0" borderId="57" xfId="0" applyNumberFormat="1" applyFont="1" applyFill="1" applyBorder="1" applyAlignment="1" applyProtection="1">
      <alignment horizontal="left" vertical="center" wrapText="1"/>
    </xf>
    <xf numFmtId="0" fontId="6" fillId="0" borderId="57" xfId="0" applyNumberFormat="1" applyFont="1" applyFill="1" applyBorder="1" applyAlignment="1" applyProtection="1">
      <alignment horizontal="right" vertical="center" wrapText="1"/>
    </xf>
    <xf numFmtId="4" fontId="6" fillId="0" borderId="57" xfId="0" applyNumberFormat="1" applyFont="1" applyFill="1" applyBorder="1" applyAlignment="1">
      <alignment vertical="center"/>
    </xf>
    <xf numFmtId="4" fontId="6" fillId="0" borderId="57" xfId="0" applyNumberFormat="1" applyFont="1" applyFill="1" applyBorder="1" applyAlignment="1" applyProtection="1">
      <alignment horizontal="right" vertical="center" wrapText="1"/>
    </xf>
    <xf numFmtId="10" fontId="6" fillId="0" borderId="57" xfId="0" applyNumberFormat="1" applyFont="1" applyFill="1" applyBorder="1" applyAlignment="1">
      <alignment vertical="center"/>
    </xf>
    <xf numFmtId="0" fontId="6" fillId="6" borderId="3" xfId="0" applyNumberFormat="1" applyFont="1" applyFill="1" applyBorder="1" applyAlignment="1" applyProtection="1">
      <alignment horizontal="right" vertical="center" wrapText="1"/>
    </xf>
    <xf numFmtId="4" fontId="6" fillId="6" borderId="3" xfId="0" applyNumberFormat="1" applyFont="1" applyFill="1" applyBorder="1" applyAlignment="1">
      <alignment vertical="center"/>
    </xf>
    <xf numFmtId="4" fontId="6" fillId="6" borderId="3" xfId="0" applyNumberFormat="1" applyFont="1" applyFill="1" applyBorder="1" applyAlignment="1" applyProtection="1">
      <alignment horizontal="right" vertical="center" wrapText="1"/>
    </xf>
    <xf numFmtId="10" fontId="6" fillId="6" borderId="4" xfId="0" applyNumberFormat="1" applyFont="1" applyFill="1" applyBorder="1" applyAlignment="1">
      <alignment vertical="center"/>
    </xf>
    <xf numFmtId="0" fontId="4" fillId="0" borderId="0" xfId="0" applyFont="1"/>
    <xf numFmtId="4" fontId="27" fillId="5" borderId="2" xfId="4" applyNumberFormat="1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/>
    </xf>
    <xf numFmtId="0" fontId="31" fillId="0" borderId="0" xfId="5"/>
    <xf numFmtId="0" fontId="31" fillId="0" borderId="0" xfId="5" applyFill="1" applyBorder="1"/>
    <xf numFmtId="0" fontId="12" fillId="0" borderId="0" xfId="5" applyFont="1" applyFill="1" applyBorder="1"/>
    <xf numFmtId="0" fontId="12" fillId="0" borderId="7" xfId="5" applyNumberFormat="1" applyFont="1" applyFill="1" applyBorder="1" applyAlignment="1" applyProtection="1">
      <alignment horizontal="left" vertical="top" wrapText="1"/>
    </xf>
    <xf numFmtId="4" fontId="12" fillId="0" borderId="8" xfId="5" applyNumberFormat="1" applyFont="1" applyFill="1" applyBorder="1" applyAlignment="1" applyProtection="1">
      <alignment horizontal="right" vertical="top" wrapText="1"/>
    </xf>
    <xf numFmtId="0" fontId="33" fillId="0" borderId="20" xfId="5" applyNumberFormat="1" applyFont="1" applyFill="1" applyBorder="1" applyAlignment="1" applyProtection="1">
      <alignment horizontal="right" vertical="top" wrapText="1"/>
    </xf>
    <xf numFmtId="0" fontId="12" fillId="0" borderId="11" xfId="5" applyNumberFormat="1" applyFont="1" applyFill="1" applyBorder="1" applyAlignment="1" applyProtection="1">
      <alignment horizontal="left" vertical="top" wrapText="1"/>
    </xf>
    <xf numFmtId="4" fontId="12" fillId="0" borderId="12" xfId="5" applyNumberFormat="1" applyFont="1" applyFill="1" applyBorder="1" applyAlignment="1" applyProtection="1">
      <alignment horizontal="right" vertical="top" wrapText="1"/>
    </xf>
    <xf numFmtId="4" fontId="6" fillId="0" borderId="12" xfId="5" applyNumberFormat="1" applyFont="1" applyFill="1" applyBorder="1" applyAlignment="1" applyProtection="1">
      <alignment horizontal="right" vertical="top" wrapText="1"/>
    </xf>
    <xf numFmtId="4" fontId="6" fillId="0" borderId="16" xfId="5" applyNumberFormat="1" applyFont="1" applyFill="1" applyBorder="1" applyAlignment="1" applyProtection="1">
      <alignment horizontal="right" vertical="top" wrapText="1"/>
    </xf>
    <xf numFmtId="0" fontId="12" fillId="0" borderId="19" xfId="5" applyNumberFormat="1" applyFont="1" applyFill="1" applyBorder="1" applyAlignment="1" applyProtection="1">
      <alignment horizontal="left" vertical="top" wrapText="1"/>
    </xf>
    <xf numFmtId="0" fontId="12" fillId="0" borderId="20" xfId="5" applyNumberFormat="1" applyFont="1" applyFill="1" applyBorder="1" applyAlignment="1" applyProtection="1">
      <alignment horizontal="left" vertical="top" wrapText="1"/>
    </xf>
    <xf numFmtId="0" fontId="12" fillId="0" borderId="24" xfId="5" applyNumberFormat="1" applyFont="1" applyFill="1" applyBorder="1" applyAlignment="1" applyProtection="1">
      <alignment horizontal="left" vertical="top" wrapText="1"/>
    </xf>
    <xf numFmtId="0" fontId="12" fillId="0" borderId="15" xfId="5" applyNumberFormat="1" applyFont="1" applyFill="1" applyBorder="1" applyAlignment="1" applyProtection="1">
      <alignment horizontal="left" vertical="top" wrapText="1"/>
    </xf>
    <xf numFmtId="4" fontId="12" fillId="0" borderId="16" xfId="5" applyNumberFormat="1" applyFont="1" applyFill="1" applyBorder="1" applyAlignment="1" applyProtection="1">
      <alignment horizontal="right" vertical="top" wrapText="1"/>
    </xf>
    <xf numFmtId="4" fontId="11" fillId="0" borderId="4" xfId="5" applyNumberFormat="1" applyFont="1" applyFill="1" applyBorder="1" applyAlignment="1" applyProtection="1">
      <alignment horizontal="right" vertical="top" wrapText="1"/>
    </xf>
    <xf numFmtId="0" fontId="11" fillId="5" borderId="39" xfId="5" applyFont="1" applyFill="1" applyBorder="1" applyAlignment="1">
      <alignment horizontal="center"/>
    </xf>
    <xf numFmtId="0" fontId="11" fillId="5" borderId="2" xfId="5" applyFont="1" applyFill="1" applyBorder="1" applyAlignment="1">
      <alignment horizontal="center"/>
    </xf>
    <xf numFmtId="0" fontId="11" fillId="5" borderId="42" xfId="5" applyFont="1" applyFill="1" applyBorder="1" applyAlignment="1">
      <alignment horizontal="center"/>
    </xf>
    <xf numFmtId="0" fontId="31" fillId="0" borderId="48" xfId="5" applyFont="1" applyFill="1" applyBorder="1"/>
    <xf numFmtId="0" fontId="12" fillId="0" borderId="26" xfId="5" applyNumberFormat="1" applyFont="1" applyFill="1" applyBorder="1" applyAlignment="1" applyProtection="1">
      <alignment horizontal="center" vertical="top" wrapText="1"/>
    </xf>
    <xf numFmtId="0" fontId="33" fillId="0" borderId="0" xfId="5" applyNumberFormat="1" applyFont="1" applyFill="1" applyBorder="1" applyAlignment="1" applyProtection="1">
      <alignment vertical="top" wrapText="1"/>
    </xf>
    <xf numFmtId="0" fontId="12" fillId="0" borderId="66" xfId="5" applyNumberFormat="1" applyFont="1" applyFill="1" applyBorder="1" applyAlignment="1" applyProtection="1">
      <alignment horizontal="left" vertical="center" wrapText="1"/>
    </xf>
    <xf numFmtId="4" fontId="12" fillId="0" borderId="66" xfId="5" applyNumberFormat="1" applyFont="1" applyFill="1" applyBorder="1" applyAlignment="1" applyProtection="1">
      <alignment horizontal="right" vertical="center" wrapText="1"/>
    </xf>
    <xf numFmtId="0" fontId="12" fillId="0" borderId="67" xfId="5" applyNumberFormat="1" applyFont="1" applyFill="1" applyBorder="1" applyAlignment="1" applyProtection="1">
      <alignment horizontal="center" vertical="center" wrapText="1"/>
    </xf>
    <xf numFmtId="0" fontId="31" fillId="0" borderId="0" xfId="5" applyBorder="1"/>
    <xf numFmtId="0" fontId="12" fillId="0" borderId="11" xfId="5" applyNumberFormat="1" applyFont="1" applyFill="1" applyBorder="1" applyAlignment="1" applyProtection="1">
      <alignment horizontal="left" vertical="center" wrapText="1"/>
    </xf>
    <xf numFmtId="4" fontId="12" fillId="0" borderId="11" xfId="5" applyNumberFormat="1" applyFont="1" applyFill="1" applyBorder="1" applyAlignment="1" applyProtection="1">
      <alignment horizontal="right" vertical="center" wrapText="1"/>
    </xf>
    <xf numFmtId="0" fontId="12" fillId="0" borderId="12" xfId="5" applyNumberFormat="1" applyFont="1" applyFill="1" applyBorder="1" applyAlignment="1" applyProtection="1">
      <alignment horizontal="center" vertical="center" wrapText="1"/>
    </xf>
    <xf numFmtId="0" fontId="12" fillId="0" borderId="22" xfId="5" applyNumberFormat="1" applyFont="1" applyFill="1" applyBorder="1" applyAlignment="1" applyProtection="1">
      <alignment horizontal="left" vertical="center" wrapText="1"/>
    </xf>
    <xf numFmtId="4" fontId="12" fillId="0" borderId="22" xfId="5" applyNumberFormat="1" applyFont="1" applyFill="1" applyBorder="1" applyAlignment="1" applyProtection="1">
      <alignment horizontal="right" vertical="center" wrapText="1"/>
    </xf>
    <xf numFmtId="0" fontId="12" fillId="0" borderId="23" xfId="5" applyNumberFormat="1" applyFont="1" applyFill="1" applyBorder="1" applyAlignment="1" applyProtection="1">
      <alignment horizontal="center" vertical="center" wrapText="1"/>
    </xf>
    <xf numFmtId="0" fontId="12" fillId="0" borderId="15" xfId="5" applyNumberFormat="1" applyFont="1" applyFill="1" applyBorder="1" applyAlignment="1" applyProtection="1">
      <alignment horizontal="left" vertical="center" wrapText="1"/>
    </xf>
    <xf numFmtId="4" fontId="12" fillId="0" borderId="15" xfId="5" applyNumberFormat="1" applyFont="1" applyFill="1" applyBorder="1" applyAlignment="1" applyProtection="1">
      <alignment horizontal="right" vertical="center" wrapText="1"/>
    </xf>
    <xf numFmtId="0" fontId="12" fillId="0" borderId="16" xfId="5" applyNumberFormat="1" applyFont="1" applyFill="1" applyBorder="1" applyAlignment="1" applyProtection="1">
      <alignment horizontal="center" vertical="center" wrapText="1"/>
    </xf>
    <xf numFmtId="0" fontId="12" fillId="0" borderId="57" xfId="5" applyNumberFormat="1" applyFont="1" applyFill="1" applyBorder="1" applyAlignment="1" applyProtection="1">
      <alignment vertical="center" wrapText="1"/>
    </xf>
    <xf numFmtId="4" fontId="12" fillId="0" borderId="3" xfId="5" applyNumberFormat="1" applyFont="1" applyFill="1" applyBorder="1" applyAlignment="1" applyProtection="1">
      <alignment horizontal="right" vertical="center" wrapText="1"/>
    </xf>
    <xf numFmtId="4" fontId="11" fillId="0" borderId="3" xfId="5" applyNumberFormat="1" applyFont="1" applyFill="1" applyBorder="1" applyAlignment="1" applyProtection="1">
      <alignment horizontal="right" vertical="center" wrapText="1"/>
    </xf>
    <xf numFmtId="4" fontId="31" fillId="0" borderId="4" xfId="5" applyNumberFormat="1" applyFont="1" applyFill="1" applyBorder="1" applyAlignment="1">
      <alignment vertical="center"/>
    </xf>
    <xf numFmtId="4" fontId="31" fillId="0" borderId="0" xfId="5" applyNumberFormat="1"/>
    <xf numFmtId="0" fontId="12" fillId="0" borderId="28" xfId="5" applyNumberFormat="1" applyFont="1" applyFill="1" applyBorder="1" applyAlignment="1" applyProtection="1">
      <alignment horizontal="left" vertical="center" wrapText="1"/>
    </xf>
    <xf numFmtId="4" fontId="12" fillId="0" borderId="28" xfId="5" applyNumberFormat="1" applyFont="1" applyFill="1" applyBorder="1" applyAlignment="1" applyProtection="1">
      <alignment horizontal="right" vertical="center" wrapText="1"/>
    </xf>
    <xf numFmtId="0" fontId="12" fillId="0" borderId="36" xfId="5" applyNumberFormat="1" applyFont="1" applyFill="1" applyBorder="1" applyAlignment="1" applyProtection="1">
      <alignment horizontal="center" vertical="center" wrapText="1"/>
    </xf>
    <xf numFmtId="0" fontId="12" fillId="0" borderId="18" xfId="5" applyNumberFormat="1" applyFont="1" applyFill="1" applyBorder="1" applyAlignment="1" applyProtection="1">
      <alignment vertical="center" wrapText="1"/>
    </xf>
    <xf numFmtId="0" fontId="12" fillId="0" borderId="31" xfId="5" applyNumberFormat="1" applyFont="1" applyFill="1" applyBorder="1" applyAlignment="1" applyProtection="1">
      <alignment horizontal="left" vertical="center" wrapText="1"/>
    </xf>
    <xf numFmtId="4" fontId="12" fillId="0" borderId="31" xfId="5" applyNumberFormat="1" applyFont="1" applyFill="1" applyBorder="1" applyAlignment="1" applyProtection="1">
      <alignment horizontal="right" vertical="center" wrapText="1"/>
    </xf>
    <xf numFmtId="0" fontId="12" fillId="0" borderId="34" xfId="5" applyNumberFormat="1" applyFont="1" applyFill="1" applyBorder="1" applyAlignment="1" applyProtection="1">
      <alignment horizontal="center" vertical="center" wrapText="1"/>
    </xf>
    <xf numFmtId="0" fontId="4" fillId="0" borderId="57" xfId="5" applyNumberFormat="1" applyFont="1" applyFill="1" applyBorder="1" applyAlignment="1" applyProtection="1">
      <alignment vertical="center" wrapText="1"/>
    </xf>
    <xf numFmtId="0" fontId="4" fillId="0" borderId="18" xfId="5" applyNumberFormat="1" applyFont="1" applyFill="1" applyBorder="1" applyAlignment="1" applyProtection="1">
      <alignment vertical="center" wrapText="1"/>
    </xf>
    <xf numFmtId="0" fontId="31" fillId="0" borderId="4" xfId="5" applyFont="1" applyFill="1" applyBorder="1" applyAlignment="1">
      <alignment vertical="center"/>
    </xf>
    <xf numFmtId="4" fontId="4" fillId="0" borderId="3" xfId="5" applyNumberFormat="1" applyFont="1" applyFill="1" applyBorder="1" applyAlignment="1" applyProtection="1">
      <alignment horizontal="right" vertical="center" wrapText="1"/>
    </xf>
    <xf numFmtId="0" fontId="4" fillId="5" borderId="18" xfId="5" applyNumberFormat="1" applyFont="1" applyFill="1" applyBorder="1" applyAlignment="1" applyProtection="1">
      <alignment horizontal="center" vertical="center" wrapText="1"/>
    </xf>
    <xf numFmtId="0" fontId="11" fillId="5" borderId="3" xfId="5" applyNumberFormat="1" applyFont="1" applyFill="1" applyBorder="1" applyAlignment="1" applyProtection="1">
      <alignment horizontal="center" vertical="center" wrapText="1"/>
    </xf>
    <xf numFmtId="0" fontId="4" fillId="5" borderId="3" xfId="5" applyNumberFormat="1" applyFont="1" applyFill="1" applyBorder="1" applyAlignment="1" applyProtection="1">
      <alignment horizontal="center" vertical="center" wrapText="1"/>
    </xf>
    <xf numFmtId="0" fontId="4" fillId="5" borderId="4" xfId="5" applyNumberFormat="1" applyFont="1" applyFill="1" applyBorder="1" applyAlignment="1" applyProtection="1">
      <alignment horizontal="center" vertical="center" wrapText="1"/>
    </xf>
    <xf numFmtId="0" fontId="29" fillId="8" borderId="70" xfId="1" applyFont="1" applyFill="1" applyBorder="1" applyAlignment="1">
      <alignment horizontal="center" vertical="center" wrapText="1"/>
    </xf>
    <xf numFmtId="0" fontId="29" fillId="3" borderId="70" xfId="1" applyFont="1" applyFill="1" applyBorder="1" applyAlignment="1">
      <alignment horizontal="center" vertical="center" wrapText="1"/>
    </xf>
    <xf numFmtId="0" fontId="37" fillId="4" borderId="70" xfId="1" applyFont="1" applyFill="1" applyBorder="1" applyAlignment="1">
      <alignment horizontal="center" vertical="center" wrapText="1"/>
    </xf>
    <xf numFmtId="0" fontId="38" fillId="0" borderId="0" xfId="1" applyFont="1" applyAlignment="1">
      <alignment horizontal="center" vertical="center" wrapText="1"/>
    </xf>
    <xf numFmtId="0" fontId="41" fillId="10" borderId="10" xfId="1" applyFont="1" applyFill="1" applyBorder="1" applyAlignment="1">
      <alignment horizontal="left" vertical="center" wrapText="1"/>
    </xf>
    <xf numFmtId="0" fontId="24" fillId="0" borderId="11" xfId="1" applyFont="1" applyBorder="1" applyAlignment="1">
      <alignment horizontal="center" vertical="center"/>
    </xf>
    <xf numFmtId="0" fontId="24" fillId="0" borderId="11" xfId="1" applyFont="1" applyBorder="1" applyAlignment="1">
      <alignment horizontal="left" vertical="center"/>
    </xf>
    <xf numFmtId="4" fontId="13" fillId="0" borderId="11" xfId="1" applyNumberFormat="1" applyFont="1" applyBorder="1" applyAlignment="1" applyProtection="1">
      <alignment horizontal="right" vertical="center"/>
    </xf>
    <xf numFmtId="4" fontId="13" fillId="0" borderId="11" xfId="1" applyNumberFormat="1" applyFont="1" applyFill="1" applyBorder="1" applyAlignment="1" applyProtection="1">
      <alignment horizontal="right" vertical="center"/>
    </xf>
    <xf numFmtId="4" fontId="13" fillId="0" borderId="12" xfId="1" applyNumberFormat="1" applyFont="1" applyBorder="1" applyAlignment="1" applyProtection="1">
      <alignment horizontal="right" vertical="center"/>
    </xf>
    <xf numFmtId="0" fontId="13" fillId="11" borderId="0" xfId="1" applyFill="1" applyBorder="1"/>
    <xf numFmtId="49" fontId="24" fillId="0" borderId="11" xfId="1" applyNumberFormat="1" applyFont="1" applyBorder="1" applyAlignment="1">
      <alignment horizontal="center" vertical="center"/>
    </xf>
    <xf numFmtId="0" fontId="13" fillId="11" borderId="0" xfId="1" applyFill="1"/>
    <xf numFmtId="4" fontId="42" fillId="0" borderId="11" xfId="1" applyNumberFormat="1" applyFont="1" applyBorder="1" applyAlignment="1" applyProtection="1">
      <alignment horizontal="right" vertical="center"/>
    </xf>
    <xf numFmtId="0" fontId="44" fillId="12" borderId="10" xfId="6" applyFont="1" applyFill="1" applyBorder="1" applyAlignment="1">
      <alignment horizontal="left" vertical="center" wrapText="1"/>
    </xf>
    <xf numFmtId="0" fontId="41" fillId="13" borderId="10" xfId="1" applyFont="1" applyFill="1" applyBorder="1" applyAlignment="1">
      <alignment horizontal="left" vertical="center" wrapText="1"/>
    </xf>
    <xf numFmtId="0" fontId="24" fillId="13" borderId="11" xfId="1" applyFont="1" applyFill="1" applyBorder="1" applyAlignment="1">
      <alignment horizontal="center" vertical="center"/>
    </xf>
    <xf numFmtId="0" fontId="24" fillId="13" borderId="11" xfId="1" applyFont="1" applyFill="1" applyBorder="1" applyAlignment="1">
      <alignment horizontal="left" vertical="center"/>
    </xf>
    <xf numFmtId="4" fontId="13" fillId="13" borderId="11" xfId="1" applyNumberFormat="1" applyFont="1" applyFill="1" applyBorder="1" applyAlignment="1" applyProtection="1">
      <alignment horizontal="right" vertical="center"/>
    </xf>
    <xf numFmtId="4" fontId="13" fillId="13" borderId="11" xfId="1" applyNumberFormat="1" applyFont="1" applyFill="1" applyBorder="1" applyAlignment="1">
      <alignment horizontal="right" vertical="center"/>
    </xf>
    <xf numFmtId="4" fontId="13" fillId="13" borderId="12" xfId="1" applyNumberFormat="1" applyFont="1" applyFill="1" applyBorder="1" applyAlignment="1" applyProtection="1">
      <alignment horizontal="right" vertical="center"/>
    </xf>
    <xf numFmtId="4" fontId="13" fillId="0" borderId="11" xfId="1" applyNumberFormat="1" applyFont="1" applyBorder="1" applyAlignment="1">
      <alignment horizontal="right" vertical="center"/>
    </xf>
    <xf numFmtId="49" fontId="24" fillId="13" borderId="11" xfId="1" applyNumberFormat="1" applyFont="1" applyFill="1" applyBorder="1" applyAlignment="1">
      <alignment horizontal="center" vertical="center"/>
    </xf>
    <xf numFmtId="0" fontId="13" fillId="13" borderId="0" xfId="1" applyFill="1"/>
    <xf numFmtId="4" fontId="13" fillId="11" borderId="11" xfId="1" applyNumberFormat="1" applyFont="1" applyFill="1" applyBorder="1" applyAlignment="1" applyProtection="1">
      <alignment horizontal="right" vertical="center"/>
    </xf>
    <xf numFmtId="4" fontId="42" fillId="0" borderId="11" xfId="1" applyNumberFormat="1" applyFont="1" applyFill="1" applyBorder="1" applyAlignment="1" applyProtection="1">
      <alignment horizontal="right" vertical="center"/>
    </xf>
    <xf numFmtId="0" fontId="13" fillId="14" borderId="0" xfId="1" applyFill="1"/>
    <xf numFmtId="0" fontId="45" fillId="13" borderId="10" xfId="1" applyFont="1" applyFill="1" applyBorder="1" applyAlignment="1">
      <alignment horizontal="left" vertical="center" wrapText="1"/>
    </xf>
    <xf numFmtId="0" fontId="6" fillId="10" borderId="10" xfId="1" applyFont="1" applyFill="1" applyBorder="1" applyAlignment="1">
      <alignment vertical="center" wrapText="1"/>
    </xf>
    <xf numFmtId="0" fontId="12" fillId="0" borderId="11" xfId="1" applyFont="1" applyBorder="1" applyAlignment="1">
      <alignment horizontal="center" vertical="center"/>
    </xf>
    <xf numFmtId="0" fontId="24" fillId="0" borderId="11" xfId="1" applyFont="1" applyFill="1" applyBorder="1" applyAlignment="1">
      <alignment horizontal="left" vertical="center"/>
    </xf>
    <xf numFmtId="4" fontId="31" fillId="0" borderId="11" xfId="1" applyNumberFormat="1" applyFont="1" applyBorder="1" applyAlignment="1" applyProtection="1">
      <alignment horizontal="right" vertical="center"/>
    </xf>
    <xf numFmtId="4" fontId="31" fillId="0" borderId="11" xfId="1" applyNumberFormat="1" applyFont="1" applyFill="1" applyBorder="1" applyAlignment="1" applyProtection="1">
      <alignment horizontal="right" vertical="center"/>
    </xf>
    <xf numFmtId="4" fontId="31" fillId="0" borderId="12" xfId="1" applyNumberFormat="1" applyFont="1" applyBorder="1" applyAlignment="1" applyProtection="1">
      <alignment horizontal="right" vertical="center"/>
    </xf>
    <xf numFmtId="0" fontId="12" fillId="0" borderId="11" xfId="1" applyFont="1" applyFill="1" applyBorder="1" applyAlignment="1">
      <alignment horizontal="center" vertical="center"/>
    </xf>
    <xf numFmtId="49" fontId="12" fillId="0" borderId="11" xfId="1" applyNumberFormat="1" applyFont="1" applyFill="1" applyBorder="1" applyAlignment="1">
      <alignment horizontal="center" vertical="center"/>
    </xf>
    <xf numFmtId="4" fontId="43" fillId="0" borderId="11" xfId="1" applyNumberFormat="1" applyFont="1" applyBorder="1" applyAlignment="1" applyProtection="1">
      <alignment horizontal="right" vertical="center"/>
    </xf>
    <xf numFmtId="0" fontId="41" fillId="10" borderId="10" xfId="1" applyFont="1" applyFill="1" applyBorder="1" applyAlignment="1">
      <alignment vertical="center" wrapText="1"/>
    </xf>
    <xf numFmtId="0" fontId="38" fillId="0" borderId="11" xfId="1" applyFont="1" applyBorder="1" applyAlignment="1">
      <alignment horizontal="center" vertical="center"/>
    </xf>
    <xf numFmtId="0" fontId="38" fillId="0" borderId="11" xfId="1" applyFont="1" applyBorder="1" applyAlignment="1">
      <alignment horizontal="left" vertical="center"/>
    </xf>
    <xf numFmtId="0" fontId="41" fillId="10" borderId="10" xfId="1" applyFont="1" applyFill="1" applyBorder="1" applyAlignment="1">
      <alignment vertical="center"/>
    </xf>
    <xf numFmtId="49" fontId="38" fillId="0" borderId="11" xfId="1" applyNumberFormat="1" applyFont="1" applyBorder="1" applyAlignment="1">
      <alignment horizontal="center" vertical="center"/>
    </xf>
    <xf numFmtId="4" fontId="6" fillId="10" borderId="10" xfId="1" applyNumberFormat="1" applyFont="1" applyFill="1" applyBorder="1" applyAlignment="1">
      <alignment vertical="center"/>
    </xf>
    <xf numFmtId="4" fontId="12" fillId="0" borderId="11" xfId="1" applyNumberFormat="1" applyFont="1" applyBorder="1" applyAlignment="1">
      <alignment horizontal="left" vertical="center" wrapText="1"/>
    </xf>
    <xf numFmtId="4" fontId="13" fillId="0" borderId="11" xfId="1" applyNumberFormat="1" applyBorder="1" applyAlignment="1" applyProtection="1">
      <alignment horizontal="right" vertical="center"/>
    </xf>
    <xf numFmtId="4" fontId="13" fillId="0" borderId="11" xfId="1" applyNumberFormat="1" applyFill="1" applyBorder="1" applyAlignment="1" applyProtection="1">
      <alignment horizontal="right" vertical="center"/>
    </xf>
    <xf numFmtId="4" fontId="13" fillId="0" borderId="12" xfId="1" applyNumberFormat="1" applyBorder="1" applyAlignment="1" applyProtection="1">
      <alignment horizontal="right" vertical="center"/>
    </xf>
    <xf numFmtId="4" fontId="6" fillId="10" borderId="10" xfId="1" applyNumberFormat="1" applyFont="1" applyFill="1" applyBorder="1" applyAlignment="1">
      <alignment vertical="center" wrapText="1"/>
    </xf>
    <xf numFmtId="4" fontId="13" fillId="0" borderId="11" xfId="1" applyNumberFormat="1" applyBorder="1" applyAlignment="1" applyProtection="1">
      <alignment vertical="center"/>
    </xf>
    <xf numFmtId="4" fontId="13" fillId="0" borderId="11" xfId="1" applyNumberFormat="1" applyFill="1" applyBorder="1" applyAlignment="1" applyProtection="1">
      <alignment vertical="center"/>
    </xf>
    <xf numFmtId="4" fontId="13" fillId="0" borderId="12" xfId="1" applyNumberFormat="1" applyBorder="1" applyAlignment="1" applyProtection="1">
      <alignment vertical="center"/>
    </xf>
    <xf numFmtId="0" fontId="41" fillId="10" borderId="14" xfId="1" applyFont="1" applyFill="1" applyBorder="1" applyAlignment="1">
      <alignment vertical="center"/>
    </xf>
    <xf numFmtId="0" fontId="38" fillId="0" borderId="15" xfId="1" applyFont="1" applyBorder="1" applyAlignment="1">
      <alignment horizontal="center" vertical="center"/>
    </xf>
    <xf numFmtId="0" fontId="38" fillId="0" borderId="15" xfId="1" applyFont="1" applyBorder="1" applyAlignment="1">
      <alignment horizontal="left" vertical="center"/>
    </xf>
    <xf numFmtId="4" fontId="13" fillId="0" borderId="15" xfId="1" applyNumberFormat="1" applyBorder="1" applyAlignment="1" applyProtection="1">
      <alignment horizontal="right" vertical="center"/>
    </xf>
    <xf numFmtId="4" fontId="13" fillId="0" borderId="15" xfId="1" applyNumberFormat="1" applyFill="1" applyBorder="1" applyAlignment="1" applyProtection="1">
      <alignment horizontal="right" vertical="center"/>
    </xf>
    <xf numFmtId="4" fontId="13" fillId="0" borderId="16" xfId="1" applyNumberFormat="1" applyBorder="1" applyAlignment="1" applyProtection="1">
      <alignment horizontal="right" vertical="center"/>
    </xf>
    <xf numFmtId="0" fontId="41" fillId="0" borderId="0" xfId="1" applyFont="1" applyFill="1" applyBorder="1" applyAlignment="1">
      <alignment vertical="center"/>
    </xf>
    <xf numFmtId="49" fontId="38" fillId="0" borderId="0" xfId="1" applyNumberFormat="1" applyFont="1" applyBorder="1" applyAlignment="1">
      <alignment horizontal="center" vertical="center"/>
    </xf>
    <xf numFmtId="0" fontId="24" fillId="0" borderId="0" xfId="1" applyFont="1" applyBorder="1" applyAlignment="1">
      <alignment horizontal="left" vertical="center"/>
    </xf>
    <xf numFmtId="4" fontId="13" fillId="0" borderId="0" xfId="1" applyNumberFormat="1" applyBorder="1" applyAlignment="1" applyProtection="1">
      <alignment vertical="center"/>
    </xf>
    <xf numFmtId="0" fontId="13" fillId="0" borderId="0" xfId="1" applyAlignment="1">
      <alignment horizontal="center"/>
    </xf>
    <xf numFmtId="0" fontId="13" fillId="0" borderId="0" xfId="1" applyFill="1" applyBorder="1" applyAlignment="1">
      <alignment horizontal="center"/>
    </xf>
    <xf numFmtId="4" fontId="13" fillId="0" borderId="0" xfId="1" applyNumberFormat="1"/>
    <xf numFmtId="0" fontId="13" fillId="0" borderId="0" xfId="1" applyAlignment="1">
      <alignment horizontal="right"/>
    </xf>
    <xf numFmtId="0" fontId="47" fillId="0" borderId="0" xfId="1" applyFont="1" applyAlignment="1">
      <alignment horizontal="center"/>
    </xf>
    <xf numFmtId="0" fontId="47" fillId="0" borderId="0" xfId="1" applyFont="1"/>
    <xf numFmtId="0" fontId="13" fillId="0" borderId="0" xfId="1" applyBorder="1"/>
    <xf numFmtId="0" fontId="13" fillId="0" borderId="0" xfId="1" applyBorder="1" applyAlignment="1" applyProtection="1">
      <alignment horizontal="right"/>
    </xf>
    <xf numFmtId="0" fontId="48" fillId="0" borderId="0" xfId="1" applyFont="1"/>
    <xf numFmtId="0" fontId="13" fillId="0" borderId="0" xfId="1" applyBorder="1" applyProtection="1"/>
    <xf numFmtId="9" fontId="0" fillId="0" borderId="0" xfId="7" applyFont="1"/>
    <xf numFmtId="0" fontId="32" fillId="0" borderId="0" xfId="5" applyFont="1" applyFill="1" applyBorder="1" applyAlignment="1">
      <alignment wrapText="1"/>
    </xf>
    <xf numFmtId="0" fontId="31" fillId="0" borderId="20" xfId="5" applyBorder="1"/>
    <xf numFmtId="0" fontId="12" fillId="0" borderId="22" xfId="5" applyNumberFormat="1" applyFont="1" applyFill="1" applyBorder="1" applyAlignment="1" applyProtection="1">
      <alignment horizontal="left" vertical="top" wrapText="1"/>
    </xf>
    <xf numFmtId="43" fontId="12" fillId="0" borderId="23" xfId="8" applyFont="1" applyFill="1" applyBorder="1" applyAlignment="1" applyProtection="1">
      <alignment horizontal="right" vertical="top" wrapText="1"/>
    </xf>
    <xf numFmtId="0" fontId="33" fillId="0" borderId="55" xfId="5" applyNumberFormat="1" applyFont="1" applyFill="1" applyBorder="1" applyAlignment="1" applyProtection="1">
      <alignment vertical="top" wrapText="1"/>
    </xf>
    <xf numFmtId="43" fontId="12" fillId="0" borderId="12" xfId="8" applyFont="1" applyFill="1" applyBorder="1" applyAlignment="1" applyProtection="1">
      <alignment horizontal="right" vertical="top" wrapText="1"/>
    </xf>
    <xf numFmtId="0" fontId="33" fillId="0" borderId="71" xfId="5" applyNumberFormat="1" applyFont="1" applyFill="1" applyBorder="1" applyAlignment="1" applyProtection="1">
      <alignment horizontal="right" vertical="top" wrapText="1"/>
    </xf>
    <xf numFmtId="164" fontId="12" fillId="0" borderId="12" xfId="8" applyNumberFormat="1" applyFont="1" applyFill="1" applyBorder="1" applyAlignment="1" applyProtection="1">
      <alignment horizontal="right" vertical="top" wrapText="1"/>
    </xf>
    <xf numFmtId="43" fontId="4" fillId="0" borderId="16" xfId="8" applyFont="1" applyFill="1" applyBorder="1" applyAlignment="1" applyProtection="1">
      <alignment horizontal="right" vertical="top" wrapText="1"/>
    </xf>
    <xf numFmtId="0" fontId="4" fillId="5" borderId="1" xfId="5" applyFont="1" applyFill="1" applyBorder="1" applyAlignment="1">
      <alignment horizontal="center"/>
    </xf>
    <xf numFmtId="0" fontId="4" fillId="5" borderId="3" xfId="5" applyFont="1" applyFill="1" applyBorder="1" applyAlignment="1">
      <alignment horizontal="center"/>
    </xf>
    <xf numFmtId="0" fontId="4" fillId="5" borderId="4" xfId="5" applyFont="1" applyFill="1" applyBorder="1" applyAlignment="1">
      <alignment horizontal="center"/>
    </xf>
    <xf numFmtId="0" fontId="12" fillId="0" borderId="0" xfId="5" applyNumberFormat="1" applyFont="1" applyFill="1" applyBorder="1" applyAlignment="1" applyProtection="1">
      <alignment horizontal="center" vertical="top" wrapText="1"/>
    </xf>
    <xf numFmtId="0" fontId="4" fillId="0" borderId="26" xfId="5" applyNumberFormat="1" applyFont="1" applyFill="1" applyBorder="1" applyAlignment="1" applyProtection="1">
      <alignment horizontal="center" vertical="center" wrapText="1"/>
    </xf>
    <xf numFmtId="4" fontId="12" fillId="0" borderId="72" xfId="5" applyNumberFormat="1" applyFont="1" applyFill="1" applyBorder="1" applyAlignment="1" applyProtection="1">
      <alignment horizontal="right" vertical="center" wrapText="1"/>
    </xf>
    <xf numFmtId="4" fontId="12" fillId="0" borderId="73" xfId="5" applyNumberFormat="1" applyFont="1" applyFill="1" applyBorder="1" applyAlignment="1" applyProtection="1">
      <alignment horizontal="right" vertical="center" wrapText="1"/>
    </xf>
    <xf numFmtId="4" fontId="12" fillId="0" borderId="74" xfId="5" applyNumberFormat="1" applyFont="1" applyFill="1" applyBorder="1" applyAlignment="1" applyProtection="1">
      <alignment horizontal="right" vertical="center" wrapText="1"/>
    </xf>
    <xf numFmtId="4" fontId="12" fillId="0" borderId="52" xfId="5" applyNumberFormat="1" applyFont="1" applyFill="1" applyBorder="1" applyAlignment="1" applyProtection="1">
      <alignment horizontal="center" vertical="center" wrapText="1"/>
    </xf>
    <xf numFmtId="0" fontId="31" fillId="0" borderId="0" xfId="5" applyAlignment="1">
      <alignment vertical="center"/>
    </xf>
    <xf numFmtId="0" fontId="31" fillId="0" borderId="0" xfId="5" applyFont="1"/>
    <xf numFmtId="0" fontId="6" fillId="0" borderId="0" xfId="5" applyFont="1"/>
    <xf numFmtId="0" fontId="12" fillId="0" borderId="0" xfId="5" applyFont="1"/>
    <xf numFmtId="0" fontId="12" fillId="7" borderId="0" xfId="5" applyNumberFormat="1" applyFont="1" applyFill="1" applyBorder="1" applyAlignment="1" applyProtection="1">
      <alignment horizontal="center" vertical="top" wrapText="1"/>
    </xf>
    <xf numFmtId="0" fontId="31" fillId="7" borderId="0" xfId="5" applyFont="1" applyFill="1"/>
    <xf numFmtId="0" fontId="9" fillId="7" borderId="0" xfId="5" applyNumberFormat="1" applyFont="1" applyFill="1" applyBorder="1" applyAlignment="1" applyProtection="1">
      <alignment horizontal="center" vertical="center" wrapText="1"/>
    </xf>
    <xf numFmtId="0" fontId="12" fillId="7" borderId="38" xfId="5" applyNumberFormat="1" applyFont="1" applyFill="1" applyBorder="1" applyAlignment="1" applyProtection="1">
      <alignment horizontal="left" vertical="top"/>
    </xf>
    <xf numFmtId="0" fontId="12" fillId="7" borderId="11" xfId="5" applyNumberFormat="1" applyFont="1" applyFill="1" applyBorder="1" applyAlignment="1" applyProtection="1">
      <alignment horizontal="left" vertical="top"/>
    </xf>
    <xf numFmtId="0" fontId="12" fillId="7" borderId="73" xfId="5" applyNumberFormat="1" applyFont="1" applyFill="1" applyBorder="1" applyAlignment="1" applyProtection="1">
      <alignment horizontal="left" vertical="top"/>
    </xf>
    <xf numFmtId="4" fontId="12" fillId="7" borderId="7" xfId="5" applyNumberFormat="1" applyFont="1" applyFill="1" applyBorder="1" applyAlignment="1" applyProtection="1">
      <alignment horizontal="right" vertical="top"/>
    </xf>
    <xf numFmtId="0" fontId="12" fillId="7" borderId="71" xfId="5" applyNumberFormat="1" applyFont="1" applyFill="1" applyBorder="1" applyAlignment="1" applyProtection="1">
      <alignment horizontal="right" vertical="top"/>
    </xf>
    <xf numFmtId="0" fontId="12" fillId="0" borderId="8" xfId="5" applyNumberFormat="1" applyFont="1" applyFill="1" applyBorder="1" applyAlignment="1" applyProtection="1">
      <alignment horizontal="center" vertical="center" wrapText="1"/>
    </xf>
    <xf numFmtId="4" fontId="12" fillId="7" borderId="11" xfId="5" applyNumberFormat="1" applyFont="1" applyFill="1" applyBorder="1" applyAlignment="1" applyProtection="1">
      <alignment horizontal="right" vertical="top"/>
    </xf>
    <xf numFmtId="0" fontId="12" fillId="7" borderId="37" xfId="5" applyNumberFormat="1" applyFont="1" applyFill="1" applyBorder="1" applyAlignment="1" applyProtection="1">
      <alignment horizontal="left" vertical="top"/>
    </xf>
    <xf numFmtId="0" fontId="12" fillId="7" borderId="28" xfId="5" applyNumberFormat="1" applyFont="1" applyFill="1" applyBorder="1" applyAlignment="1" applyProtection="1">
      <alignment horizontal="left" vertical="top"/>
    </xf>
    <xf numFmtId="0" fontId="12" fillId="7" borderId="75" xfId="5" applyNumberFormat="1" applyFont="1" applyFill="1" applyBorder="1" applyAlignment="1" applyProtection="1">
      <alignment horizontal="left" vertical="top"/>
    </xf>
    <xf numFmtId="4" fontId="12" fillId="7" borderId="28" xfId="5" applyNumberFormat="1" applyFont="1" applyFill="1" applyBorder="1" applyAlignment="1" applyProtection="1">
      <alignment horizontal="right" vertical="top"/>
    </xf>
    <xf numFmtId="0" fontId="12" fillId="7" borderId="54" xfId="5" applyNumberFormat="1" applyFont="1" applyFill="1" applyBorder="1" applyAlignment="1" applyProtection="1">
      <alignment horizontal="right" vertical="top"/>
    </xf>
    <xf numFmtId="4" fontId="6" fillId="7" borderId="3" xfId="5" applyNumberFormat="1" applyFont="1" applyFill="1" applyBorder="1" applyAlignment="1" applyProtection="1">
      <alignment horizontal="right" vertical="top"/>
    </xf>
    <xf numFmtId="0" fontId="6" fillId="7" borderId="57" xfId="5" applyNumberFormat="1" applyFont="1" applyFill="1" applyBorder="1" applyAlignment="1" applyProtection="1">
      <alignment horizontal="right" vertical="top"/>
    </xf>
    <xf numFmtId="0" fontId="31" fillId="7" borderId="52" xfId="5" applyFont="1" applyFill="1" applyBorder="1"/>
    <xf numFmtId="0" fontId="12" fillId="7" borderId="56" xfId="5" applyNumberFormat="1" applyFont="1" applyFill="1" applyBorder="1" applyAlignment="1" applyProtection="1">
      <alignment horizontal="left" vertical="top"/>
    </xf>
    <xf numFmtId="0" fontId="12" fillId="7" borderId="22" xfId="5" applyNumberFormat="1" applyFont="1" applyFill="1" applyBorder="1" applyAlignment="1" applyProtection="1">
      <alignment horizontal="left" vertical="top"/>
    </xf>
    <xf numFmtId="0" fontId="12" fillId="7" borderId="72" xfId="5" applyNumberFormat="1" applyFont="1" applyFill="1" applyBorder="1" applyAlignment="1" applyProtection="1">
      <alignment horizontal="left" vertical="top"/>
    </xf>
    <xf numFmtId="4" fontId="12" fillId="7" borderId="22" xfId="5" applyNumberFormat="1" applyFont="1" applyFill="1" applyBorder="1" applyAlignment="1" applyProtection="1">
      <alignment horizontal="right" vertical="top"/>
    </xf>
    <xf numFmtId="0" fontId="12" fillId="7" borderId="55" xfId="5" applyNumberFormat="1" applyFont="1" applyFill="1" applyBorder="1" applyAlignment="1" applyProtection="1">
      <alignment horizontal="right" vertical="top"/>
    </xf>
    <xf numFmtId="0" fontId="31" fillId="7" borderId="4" xfId="5" applyFont="1" applyFill="1" applyBorder="1"/>
    <xf numFmtId="0" fontId="12" fillId="7" borderId="44" xfId="5" applyNumberFormat="1" applyFont="1" applyFill="1" applyBorder="1" applyAlignment="1" applyProtection="1">
      <alignment horizontal="left" vertical="top"/>
    </xf>
    <xf numFmtId="0" fontId="12" fillId="7" borderId="72" xfId="5" applyNumberFormat="1" applyFont="1" applyFill="1" applyBorder="1" applyAlignment="1" applyProtection="1">
      <alignment horizontal="left" vertical="top" wrapText="1"/>
    </xf>
    <xf numFmtId="0" fontId="12" fillId="7" borderId="0" xfId="5" applyFont="1" applyFill="1"/>
    <xf numFmtId="0" fontId="6" fillId="5" borderId="17" xfId="5" applyNumberFormat="1" applyFont="1" applyFill="1" applyBorder="1" applyAlignment="1" applyProtection="1">
      <alignment horizontal="center" vertical="top" wrapText="1"/>
    </xf>
    <xf numFmtId="0" fontId="6" fillId="5" borderId="3" xfId="5" applyNumberFormat="1" applyFont="1" applyFill="1" applyBorder="1" applyAlignment="1" applyProtection="1">
      <alignment horizontal="center" vertical="top" wrapText="1"/>
    </xf>
    <xf numFmtId="0" fontId="6" fillId="5" borderId="52" xfId="5" applyNumberFormat="1" applyFont="1" applyFill="1" applyBorder="1" applyAlignment="1" applyProtection="1">
      <alignment horizontal="center" vertical="top" wrapText="1"/>
    </xf>
    <xf numFmtId="4" fontId="6" fillId="5" borderId="3" xfId="5" applyNumberFormat="1" applyFont="1" applyFill="1" applyBorder="1" applyAlignment="1" applyProtection="1">
      <alignment horizontal="right" vertical="top"/>
    </xf>
    <xf numFmtId="0" fontId="6" fillId="5" borderId="57" xfId="5" applyNumberFormat="1" applyFont="1" applyFill="1" applyBorder="1" applyAlignment="1" applyProtection="1">
      <alignment horizontal="right" vertical="top"/>
    </xf>
    <xf numFmtId="0" fontId="31" fillId="5" borderId="52" xfId="5" applyFont="1" applyFill="1" applyBorder="1"/>
    <xf numFmtId="0" fontId="20" fillId="0" borderId="0" xfId="9"/>
    <xf numFmtId="0" fontId="20" fillId="7" borderId="0" xfId="0" applyFont="1" applyFill="1" applyAlignment="1"/>
    <xf numFmtId="0" fontId="20" fillId="7" borderId="0" xfId="0" applyFont="1" applyFill="1"/>
    <xf numFmtId="0" fontId="9" fillId="7" borderId="0" xfId="0" applyFont="1" applyFill="1" applyAlignment="1">
      <alignment horizontal="center" vertical="center"/>
    </xf>
    <xf numFmtId="0" fontId="4" fillId="5" borderId="17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52" xfId="0" applyFont="1" applyFill="1" applyBorder="1" applyAlignment="1">
      <alignment horizontal="center"/>
    </xf>
    <xf numFmtId="0" fontId="4" fillId="7" borderId="52" xfId="0" applyFont="1" applyFill="1" applyBorder="1" applyAlignment="1">
      <alignment horizontal="center"/>
    </xf>
    <xf numFmtId="0" fontId="12" fillId="7" borderId="7" xfId="0" applyNumberFormat="1" applyFont="1" applyFill="1" applyBorder="1" applyAlignment="1" applyProtection="1">
      <alignment horizontal="left" vertical="top" wrapText="1"/>
    </xf>
    <xf numFmtId="4" fontId="12" fillId="7" borderId="8" xfId="0" applyNumberFormat="1" applyFont="1" applyFill="1" applyBorder="1" applyAlignment="1" applyProtection="1">
      <alignment horizontal="right" vertical="top" wrapText="1"/>
    </xf>
    <xf numFmtId="0" fontId="12" fillId="7" borderId="23" xfId="0" applyNumberFormat="1" applyFont="1" applyFill="1" applyBorder="1" applyAlignment="1" applyProtection="1">
      <alignment horizontal="right" vertical="top" wrapText="1"/>
    </xf>
    <xf numFmtId="0" fontId="12" fillId="7" borderId="11" xfId="0" applyNumberFormat="1" applyFont="1" applyFill="1" applyBorder="1" applyAlignment="1" applyProtection="1">
      <alignment horizontal="left" vertical="top" wrapText="1"/>
    </xf>
    <xf numFmtId="4" fontId="12" fillId="7" borderId="12" xfId="0" applyNumberFormat="1" applyFont="1" applyFill="1" applyBorder="1" applyAlignment="1" applyProtection="1">
      <alignment horizontal="right" vertical="top" wrapText="1"/>
    </xf>
    <xf numFmtId="0" fontId="12" fillId="7" borderId="12" xfId="0" applyNumberFormat="1" applyFont="1" applyFill="1" applyBorder="1" applyAlignment="1" applyProtection="1">
      <alignment horizontal="right" vertical="top" wrapText="1"/>
    </xf>
    <xf numFmtId="0" fontId="20" fillId="0" borderId="11" xfId="0" applyFont="1" applyBorder="1" applyAlignment="1">
      <alignment horizontal="left" vertical="top" wrapText="1"/>
    </xf>
    <xf numFmtId="4" fontId="6" fillId="7" borderId="12" xfId="0" applyNumberFormat="1" applyFont="1" applyFill="1" applyBorder="1" applyAlignment="1" applyProtection="1">
      <alignment horizontal="right" vertical="top" wrapText="1"/>
    </xf>
    <xf numFmtId="0" fontId="6" fillId="7" borderId="11" xfId="0" applyNumberFormat="1" applyFont="1" applyFill="1" applyBorder="1" applyAlignment="1" applyProtection="1">
      <alignment horizontal="left" vertical="top" wrapText="1"/>
    </xf>
    <xf numFmtId="0" fontId="6" fillId="7" borderId="15" xfId="0" applyNumberFormat="1" applyFont="1" applyFill="1" applyBorder="1" applyAlignment="1" applyProtection="1">
      <alignment horizontal="left" vertical="top" wrapText="1"/>
    </xf>
    <xf numFmtId="4" fontId="6" fillId="7" borderId="16" xfId="0" applyNumberFormat="1" applyFont="1" applyFill="1" applyBorder="1" applyAlignment="1" applyProtection="1">
      <alignment horizontal="right" vertical="top" wrapText="1"/>
    </xf>
    <xf numFmtId="0" fontId="12" fillId="7" borderId="36" xfId="0" applyNumberFormat="1" applyFont="1" applyFill="1" applyBorder="1" applyAlignment="1" applyProtection="1">
      <alignment horizontal="right" vertical="top" wrapText="1"/>
    </xf>
    <xf numFmtId="0" fontId="6" fillId="5" borderId="18" xfId="0" applyNumberFormat="1" applyFont="1" applyFill="1" applyBorder="1" applyAlignment="1" applyProtection="1">
      <alignment horizontal="left" vertical="top" wrapText="1"/>
    </xf>
    <xf numFmtId="4" fontId="6" fillId="5" borderId="4" xfId="0" applyNumberFormat="1" applyFont="1" applyFill="1" applyBorder="1" applyAlignment="1" applyProtection="1">
      <alignment horizontal="right" vertical="top" wrapText="1"/>
    </xf>
    <xf numFmtId="0" fontId="12" fillId="7" borderId="4" xfId="0" applyNumberFormat="1" applyFont="1" applyFill="1" applyBorder="1" applyAlignment="1" applyProtection="1">
      <alignment horizontal="right" vertical="top" wrapText="1"/>
    </xf>
    <xf numFmtId="0" fontId="20" fillId="7" borderId="0" xfId="11" applyFont="1" applyFill="1"/>
    <xf numFmtId="0" fontId="9" fillId="7" borderId="0" xfId="11" applyFont="1" applyFill="1" applyBorder="1" applyAlignment="1">
      <alignment horizontal="center" vertical="center"/>
    </xf>
    <xf numFmtId="0" fontId="4" fillId="5" borderId="17" xfId="11" applyNumberFormat="1" applyFont="1" applyFill="1" applyBorder="1" applyAlignment="1" applyProtection="1">
      <alignment horizontal="center" vertical="center"/>
    </xf>
    <xf numFmtId="4" fontId="4" fillId="5" borderId="3" xfId="11" applyNumberFormat="1" applyFont="1" applyFill="1" applyBorder="1" applyAlignment="1" applyProtection="1">
      <alignment horizontal="center" vertical="center"/>
    </xf>
    <xf numFmtId="4" fontId="4" fillId="5" borderId="52" xfId="11" applyNumberFormat="1" applyFont="1" applyFill="1" applyBorder="1" applyAlignment="1" applyProtection="1">
      <alignment horizontal="center" vertical="center"/>
    </xf>
    <xf numFmtId="4" fontId="4" fillId="7" borderId="18" xfId="11" applyNumberFormat="1" applyFont="1" applyFill="1" applyBorder="1" applyAlignment="1" applyProtection="1">
      <alignment horizontal="center" vertical="center" wrapText="1"/>
    </xf>
    <xf numFmtId="0" fontId="12" fillId="7" borderId="37" xfId="11" applyNumberFormat="1" applyFont="1" applyFill="1" applyBorder="1" applyAlignment="1" applyProtection="1">
      <alignment horizontal="left" vertical="center"/>
    </xf>
    <xf numFmtId="0" fontId="12" fillId="7" borderId="28" xfId="11" applyNumberFormat="1" applyFont="1" applyFill="1" applyBorder="1" applyAlignment="1" applyProtection="1">
      <alignment horizontal="left" vertical="center"/>
    </xf>
    <xf numFmtId="4" fontId="12" fillId="7" borderId="76" xfId="11" applyNumberFormat="1" applyFont="1" applyFill="1" applyBorder="1" applyAlignment="1" applyProtection="1">
      <alignment horizontal="right" vertical="center"/>
    </xf>
    <xf numFmtId="0" fontId="12" fillId="7" borderId="77" xfId="11" applyNumberFormat="1" applyFont="1" applyFill="1" applyBorder="1" applyAlignment="1" applyProtection="1">
      <alignment horizontal="right" vertical="top" wrapText="1"/>
    </xf>
    <xf numFmtId="0" fontId="12" fillId="7" borderId="38" xfId="11" applyNumberFormat="1" applyFont="1" applyFill="1" applyBorder="1" applyAlignment="1" applyProtection="1">
      <alignment horizontal="left" vertical="center"/>
    </xf>
    <xf numFmtId="0" fontId="12" fillId="7" borderId="11" xfId="11" applyNumberFormat="1" applyFont="1" applyFill="1" applyBorder="1" applyAlignment="1" applyProtection="1">
      <alignment horizontal="left" vertical="center" wrapText="1"/>
    </xf>
    <xf numFmtId="4" fontId="12" fillId="7" borderId="77" xfId="11" applyNumberFormat="1" applyFont="1" applyFill="1" applyBorder="1" applyAlignment="1" applyProtection="1">
      <alignment horizontal="right" vertical="center"/>
    </xf>
    <xf numFmtId="0" fontId="12" fillId="7" borderId="44" xfId="11" applyNumberFormat="1" applyFont="1" applyFill="1" applyBorder="1" applyAlignment="1" applyProtection="1">
      <alignment horizontal="left" vertical="center"/>
    </xf>
    <xf numFmtId="0" fontId="12" fillId="7" borderId="31" xfId="11" applyNumberFormat="1" applyFont="1" applyFill="1" applyBorder="1" applyAlignment="1" applyProtection="1">
      <alignment horizontal="left" vertical="center"/>
    </xf>
    <xf numFmtId="4" fontId="12" fillId="7" borderId="78" xfId="11" applyNumberFormat="1" applyFont="1" applyFill="1" applyBorder="1" applyAlignment="1" applyProtection="1">
      <alignment horizontal="right" vertical="center"/>
    </xf>
    <xf numFmtId="0" fontId="12" fillId="7" borderId="11" xfId="11" applyNumberFormat="1" applyFont="1" applyFill="1" applyBorder="1" applyAlignment="1" applyProtection="1">
      <alignment horizontal="left" vertical="center"/>
    </xf>
    <xf numFmtId="0" fontId="12" fillId="7" borderId="56" xfId="11" applyNumberFormat="1" applyFont="1" applyFill="1" applyBorder="1" applyAlignment="1" applyProtection="1">
      <alignment horizontal="left" vertical="center"/>
    </xf>
    <xf numFmtId="0" fontId="12" fillId="7" borderId="22" xfId="11" applyNumberFormat="1" applyFont="1" applyFill="1" applyBorder="1" applyAlignment="1" applyProtection="1">
      <alignment horizontal="left" vertical="center"/>
    </xf>
    <xf numFmtId="4" fontId="12" fillId="7" borderId="79" xfId="11" applyNumberFormat="1" applyFont="1" applyFill="1" applyBorder="1" applyAlignment="1" applyProtection="1">
      <alignment horizontal="right" vertical="center"/>
    </xf>
    <xf numFmtId="0" fontId="12" fillId="7" borderId="50" xfId="11" applyNumberFormat="1" applyFont="1" applyFill="1" applyBorder="1" applyAlignment="1" applyProtection="1">
      <alignment horizontal="left" vertical="center"/>
    </xf>
    <xf numFmtId="4" fontId="6" fillId="5" borderId="52" xfId="11" applyNumberFormat="1" applyFont="1" applyFill="1" applyBorder="1" applyAlignment="1" applyProtection="1">
      <alignment horizontal="right" vertical="top"/>
    </xf>
    <xf numFmtId="0" fontId="12" fillId="7" borderId="80" xfId="11" applyNumberFormat="1" applyFont="1" applyFill="1" applyBorder="1" applyAlignment="1" applyProtection="1">
      <alignment horizontal="right" vertical="top" wrapText="1"/>
    </xf>
    <xf numFmtId="0" fontId="12" fillId="7" borderId="0" xfId="11" applyFont="1" applyFill="1" applyAlignment="1">
      <alignment vertical="top"/>
    </xf>
    <xf numFmtId="4" fontId="12" fillId="7" borderId="0" xfId="11" applyNumberFormat="1" applyFont="1" applyFill="1" applyAlignment="1">
      <alignment horizontal="justify" vertical="justify" wrapText="1"/>
    </xf>
    <xf numFmtId="0" fontId="12" fillId="7" borderId="0" xfId="11" applyFont="1" applyFill="1" applyAlignment="1">
      <alignment horizontal="justify" vertical="justify" wrapText="1"/>
    </xf>
    <xf numFmtId="0" fontId="20" fillId="7" borderId="0" xfId="11" applyFill="1" applyAlignment="1">
      <alignment horizontal="justify" vertical="justify" wrapText="1"/>
    </xf>
    <xf numFmtId="0" fontId="20" fillId="0" borderId="0" xfId="11"/>
    <xf numFmtId="0" fontId="12" fillId="0" borderId="0" xfId="11" applyFont="1"/>
    <xf numFmtId="0" fontId="4" fillId="5" borderId="1" xfId="11" applyFont="1" applyFill="1" applyBorder="1" applyAlignment="1">
      <alignment horizontal="center" vertical="center"/>
    </xf>
    <xf numFmtId="0" fontId="4" fillId="5" borderId="3" xfId="11" applyFont="1" applyFill="1" applyBorder="1" applyAlignment="1">
      <alignment horizontal="center" vertical="center"/>
    </xf>
    <xf numFmtId="0" fontId="4" fillId="5" borderId="4" xfId="11" applyFont="1" applyFill="1" applyBorder="1" applyAlignment="1">
      <alignment horizontal="center" vertical="center"/>
    </xf>
    <xf numFmtId="0" fontId="12" fillId="0" borderId="22" xfId="11" applyNumberFormat="1" applyFont="1" applyFill="1" applyBorder="1" applyAlignment="1" applyProtection="1">
      <alignment horizontal="left" vertical="top" wrapText="1"/>
    </xf>
    <xf numFmtId="4" fontId="12" fillId="0" borderId="23" xfId="11" applyNumberFormat="1" applyFont="1" applyFill="1" applyBorder="1" applyAlignment="1" applyProtection="1">
      <alignment horizontal="right" vertical="center" wrapText="1"/>
    </xf>
    <xf numFmtId="0" fontId="5" fillId="0" borderId="20" xfId="11" applyNumberFormat="1" applyFont="1" applyFill="1" applyBorder="1" applyAlignment="1" applyProtection="1">
      <alignment horizontal="right" vertical="top" wrapText="1"/>
    </xf>
    <xf numFmtId="0" fontId="12" fillId="0" borderId="11" xfId="11" applyNumberFormat="1" applyFont="1" applyFill="1" applyBorder="1" applyAlignment="1" applyProtection="1">
      <alignment horizontal="left" vertical="top" wrapText="1"/>
    </xf>
    <xf numFmtId="4" fontId="12" fillId="0" borderId="12" xfId="11" applyNumberFormat="1" applyFont="1" applyFill="1" applyBorder="1" applyAlignment="1" applyProtection="1">
      <alignment horizontal="right" vertical="center" wrapText="1"/>
    </xf>
    <xf numFmtId="0" fontId="12" fillId="0" borderId="11" xfId="11" applyNumberFormat="1" applyFont="1" applyFill="1" applyBorder="1" applyAlignment="1" applyProtection="1">
      <alignment horizontal="left" vertical="center" wrapText="1"/>
    </xf>
    <xf numFmtId="4" fontId="6" fillId="0" borderId="12" xfId="11" applyNumberFormat="1" applyFont="1" applyFill="1" applyBorder="1" applyAlignment="1" applyProtection="1">
      <alignment horizontal="right" vertical="center" wrapText="1"/>
    </xf>
    <xf numFmtId="0" fontId="12" fillId="0" borderId="27" xfId="11" applyNumberFormat="1" applyFont="1" applyFill="1" applyBorder="1" applyAlignment="1" applyProtection="1">
      <alignment horizontal="center" vertical="center" textRotation="90" wrapText="1"/>
    </xf>
    <xf numFmtId="0" fontId="12" fillId="0" borderId="28" xfId="11" applyNumberFormat="1" applyFont="1" applyFill="1" applyBorder="1" applyAlignment="1" applyProtection="1">
      <alignment horizontal="left" vertical="center" wrapText="1"/>
    </xf>
    <xf numFmtId="0" fontId="5" fillId="0" borderId="71" xfId="11" applyNumberFormat="1" applyFont="1" applyFill="1" applyBorder="1" applyAlignment="1" applyProtection="1">
      <alignment horizontal="right" vertical="top" wrapText="1"/>
    </xf>
    <xf numFmtId="4" fontId="6" fillId="0" borderId="36" xfId="11" applyNumberFormat="1" applyFont="1" applyFill="1" applyBorder="1" applyAlignment="1" applyProtection="1">
      <alignment horizontal="right" vertical="center" wrapText="1"/>
    </xf>
    <xf numFmtId="4" fontId="4" fillId="5" borderId="4" xfId="11" applyNumberFormat="1" applyFont="1" applyFill="1" applyBorder="1" applyAlignment="1" applyProtection="1">
      <alignment horizontal="right" vertical="center" wrapText="1"/>
    </xf>
    <xf numFmtId="0" fontId="34" fillId="0" borderId="0" xfId="11" applyFont="1" applyAlignment="1">
      <alignment horizontal="left" vertical="center"/>
    </xf>
    <xf numFmtId="0" fontId="34" fillId="0" borderId="0" xfId="11" applyFont="1" applyAlignment="1">
      <alignment vertical="center"/>
    </xf>
    <xf numFmtId="4" fontId="12" fillId="0" borderId="0" xfId="11" applyNumberFormat="1" applyFont="1" applyAlignment="1">
      <alignment vertical="center"/>
    </xf>
    <xf numFmtId="4" fontId="4" fillId="5" borderId="11" xfId="11" applyNumberFormat="1" applyFont="1" applyFill="1" applyBorder="1" applyAlignment="1">
      <alignment horizontal="center" vertical="center" wrapText="1"/>
    </xf>
    <xf numFmtId="0" fontId="4" fillId="5" borderId="12" xfId="11" applyFont="1" applyFill="1" applyBorder="1" applyAlignment="1">
      <alignment horizontal="center" vertical="center"/>
    </xf>
    <xf numFmtId="4" fontId="12" fillId="0" borderId="11" xfId="11" applyNumberFormat="1" applyFont="1" applyFill="1" applyBorder="1" applyAlignment="1" applyProtection="1">
      <alignment horizontal="right" vertical="center" wrapText="1"/>
    </xf>
    <xf numFmtId="10" fontId="12" fillId="0" borderId="12" xfId="11" applyNumberFormat="1" applyFont="1" applyFill="1" applyBorder="1" applyAlignment="1">
      <alignment vertical="center"/>
    </xf>
    <xf numFmtId="4" fontId="11" fillId="4" borderId="11" xfId="11" applyNumberFormat="1" applyFont="1" applyFill="1" applyBorder="1" applyAlignment="1" applyProtection="1">
      <alignment horizontal="right" vertical="center" wrapText="1"/>
    </xf>
    <xf numFmtId="10" fontId="11" fillId="4" borderId="12" xfId="11" applyNumberFormat="1" applyFont="1" applyFill="1" applyBorder="1" applyAlignment="1">
      <alignment vertical="center"/>
    </xf>
    <xf numFmtId="0" fontId="12" fillId="0" borderId="10" xfId="11" applyNumberFormat="1" applyFont="1" applyFill="1" applyBorder="1" applyAlignment="1" applyProtection="1">
      <alignment horizontal="left" vertical="center" wrapText="1"/>
    </xf>
    <xf numFmtId="10" fontId="12" fillId="0" borderId="12" xfId="11" applyNumberFormat="1" applyFont="1" applyFill="1" applyBorder="1" applyAlignment="1">
      <alignment horizontal="center" vertical="center"/>
    </xf>
    <xf numFmtId="4" fontId="51" fillId="0" borderId="11" xfId="11" applyNumberFormat="1" applyFont="1" applyFill="1" applyBorder="1" applyAlignment="1" applyProtection="1">
      <alignment horizontal="right" vertical="center" wrapText="1"/>
    </xf>
    <xf numFmtId="4" fontId="52" fillId="4" borderId="15" xfId="11" applyNumberFormat="1" applyFont="1" applyFill="1" applyBorder="1" applyAlignment="1" applyProtection="1">
      <alignment horizontal="right" vertical="center" wrapText="1"/>
    </xf>
    <xf numFmtId="4" fontId="53" fillId="4" borderId="15" xfId="11" applyNumberFormat="1" applyFont="1" applyFill="1" applyBorder="1" applyAlignment="1" applyProtection="1">
      <alignment horizontal="right" vertical="center" wrapText="1"/>
    </xf>
    <xf numFmtId="4" fontId="53" fillId="4" borderId="85" xfId="11" applyNumberFormat="1" applyFont="1" applyFill="1" applyBorder="1" applyAlignment="1" applyProtection="1">
      <alignment horizontal="right" vertical="center" wrapText="1"/>
    </xf>
    <xf numFmtId="10" fontId="53" fillId="4" borderId="16" xfId="11" applyNumberFormat="1" applyFont="1" applyFill="1" applyBorder="1" applyAlignment="1">
      <alignment horizontal="right" vertical="center"/>
    </xf>
    <xf numFmtId="0" fontId="4" fillId="0" borderId="70" xfId="9" applyFont="1" applyBorder="1" applyAlignment="1">
      <alignment horizontal="center" vertical="center"/>
    </xf>
    <xf numFmtId="0" fontId="20" fillId="0" borderId="6" xfId="9" applyBorder="1" applyAlignment="1">
      <alignment vertical="center"/>
    </xf>
    <xf numFmtId="4" fontId="20" fillId="0" borderId="7" xfId="9" applyNumberFormat="1" applyFont="1" applyBorder="1" applyAlignment="1">
      <alignment horizontal="right" vertical="center"/>
    </xf>
    <xf numFmtId="4" fontId="20" fillId="0" borderId="7" xfId="9" applyNumberFormat="1" applyFont="1" applyBorder="1" applyAlignment="1">
      <alignment horizontal="center" vertical="center"/>
    </xf>
    <xf numFmtId="0" fontId="20" fillId="0" borderId="8" xfId="9" applyBorder="1" applyAlignment="1">
      <alignment horizontal="center" vertical="center" wrapText="1"/>
    </xf>
    <xf numFmtId="0" fontId="20" fillId="0" borderId="10" xfId="10" applyFont="1" applyBorder="1" applyAlignment="1">
      <alignment vertical="center" wrapText="1"/>
    </xf>
    <xf numFmtId="4" fontId="20" fillId="0" borderId="11" xfId="9" applyNumberFormat="1" applyBorder="1" applyAlignment="1">
      <alignment horizontal="right" vertical="center"/>
    </xf>
    <xf numFmtId="4" fontId="20" fillId="0" borderId="22" xfId="9" applyNumberFormat="1" applyFont="1" applyBorder="1" applyAlignment="1">
      <alignment horizontal="center" vertical="center"/>
    </xf>
    <xf numFmtId="0" fontId="20" fillId="0" borderId="12" xfId="10" applyFont="1" applyBorder="1" applyAlignment="1">
      <alignment horizontal="center" vertical="center" wrapText="1"/>
    </xf>
    <xf numFmtId="0" fontId="20" fillId="0" borderId="29" xfId="10" applyFont="1" applyBorder="1" applyAlignment="1">
      <alignment vertical="center" wrapText="1"/>
    </xf>
    <xf numFmtId="4" fontId="20" fillId="0" borderId="22" xfId="9" applyNumberFormat="1" applyBorder="1" applyAlignment="1">
      <alignment horizontal="right" vertical="center"/>
    </xf>
    <xf numFmtId="0" fontId="20" fillId="0" borderId="29" xfId="9" applyFont="1" applyBorder="1" applyAlignment="1">
      <alignment vertical="center"/>
    </xf>
    <xf numFmtId="4" fontId="20" fillId="0" borderId="22" xfId="9" applyNumberFormat="1" applyFont="1" applyBorder="1" applyAlignment="1">
      <alignment horizontal="right" vertical="center"/>
    </xf>
    <xf numFmtId="0" fontId="20" fillId="0" borderId="10" xfId="9" applyFont="1" applyFill="1" applyBorder="1" applyAlignment="1">
      <alignment vertical="center"/>
    </xf>
    <xf numFmtId="4" fontId="20" fillId="0" borderId="11" xfId="9" applyNumberFormat="1" applyFont="1" applyBorder="1" applyAlignment="1">
      <alignment horizontal="right" vertical="center"/>
    </xf>
    <xf numFmtId="0" fontId="53" fillId="0" borderId="14" xfId="9" applyFont="1" applyBorder="1" applyAlignment="1">
      <alignment vertical="center"/>
    </xf>
    <xf numFmtId="4" fontId="53" fillId="0" borderId="15" xfId="9" applyNumberFormat="1" applyFont="1" applyBorder="1" applyAlignment="1">
      <alignment horizontal="right" vertical="center"/>
    </xf>
    <xf numFmtId="0" fontId="52" fillId="0" borderId="70" xfId="9" applyFont="1" applyFill="1" applyBorder="1" applyAlignment="1">
      <alignment vertical="center"/>
    </xf>
    <xf numFmtId="0" fontId="20" fillId="0" borderId="70" xfId="9" applyFont="1" applyBorder="1" applyAlignment="1">
      <alignment horizontal="center" vertical="center" wrapText="1"/>
    </xf>
    <xf numFmtId="0" fontId="54" fillId="0" borderId="0" xfId="10" applyFont="1" applyAlignment="1">
      <alignment horizontal="center" vertical="center"/>
    </xf>
    <xf numFmtId="0" fontId="4" fillId="0" borderId="70" xfId="10" applyFont="1" applyBorder="1" applyAlignment="1">
      <alignment horizontal="center" vertical="center"/>
    </xf>
    <xf numFmtId="0" fontId="4" fillId="0" borderId="17" xfId="10" applyFont="1" applyBorder="1" applyAlignment="1">
      <alignment horizontal="center" vertical="center"/>
    </xf>
    <xf numFmtId="0" fontId="20" fillId="0" borderId="0" xfId="10" applyBorder="1" applyAlignment="1"/>
    <xf numFmtId="0" fontId="20" fillId="0" borderId="6" xfId="10" applyFont="1" applyBorder="1" applyAlignment="1">
      <alignment horizontal="left" vertical="center"/>
    </xf>
    <xf numFmtId="4" fontId="20" fillId="0" borderId="7" xfId="10" applyNumberFormat="1" applyFont="1" applyBorder="1" applyAlignment="1">
      <alignment horizontal="right" vertical="center"/>
    </xf>
    <xf numFmtId="0" fontId="4" fillId="0" borderId="7" xfId="10" applyFont="1" applyBorder="1" applyAlignment="1">
      <alignment horizontal="center" vertical="center"/>
    </xf>
    <xf numFmtId="0" fontId="4" fillId="0" borderId="8" xfId="10" applyFont="1" applyBorder="1" applyAlignment="1">
      <alignment horizontal="center" vertical="center"/>
    </xf>
    <xf numFmtId="0" fontId="20" fillId="0" borderId="29" xfId="10" applyFont="1" applyBorder="1" applyAlignment="1">
      <alignment vertical="center"/>
    </xf>
    <xf numFmtId="4" fontId="20" fillId="0" borderId="22" xfId="10" applyNumberFormat="1" applyFont="1" applyBorder="1" applyAlignment="1">
      <alignment vertical="center"/>
    </xf>
    <xf numFmtId="0" fontId="20" fillId="0" borderId="72" xfId="10" applyFont="1" applyBorder="1" applyAlignment="1">
      <alignment horizontal="center" vertical="center"/>
    </xf>
    <xf numFmtId="0" fontId="20" fillId="0" borderId="0" xfId="10" applyBorder="1" applyAlignment="1">
      <alignment vertical="center"/>
    </xf>
    <xf numFmtId="4" fontId="20" fillId="0" borderId="11" xfId="10" applyNumberFormat="1" applyFont="1" applyBorder="1" applyAlignment="1">
      <alignment vertical="center"/>
    </xf>
    <xf numFmtId="4" fontId="20" fillId="0" borderId="73" xfId="10" applyNumberFormat="1" applyFont="1" applyBorder="1" applyAlignment="1">
      <alignment horizontal="center" vertical="center"/>
    </xf>
    <xf numFmtId="0" fontId="20" fillId="0" borderId="0" xfId="10" applyFont="1" applyBorder="1" applyAlignment="1"/>
    <xf numFmtId="4" fontId="20" fillId="0" borderId="10" xfId="10" applyNumberFormat="1" applyFont="1" applyBorder="1" applyAlignment="1">
      <alignment vertical="center" wrapText="1"/>
    </xf>
    <xf numFmtId="4" fontId="20" fillId="0" borderId="10" xfId="10" applyNumberFormat="1" applyFont="1" applyBorder="1" applyAlignment="1">
      <alignment vertical="center"/>
    </xf>
    <xf numFmtId="0" fontId="20" fillId="0" borderId="73" xfId="10" applyFont="1" applyBorder="1" applyAlignment="1">
      <alignment horizontal="center" vertical="center"/>
    </xf>
    <xf numFmtId="0" fontId="20" fillId="0" borderId="12" xfId="10" applyFont="1" applyBorder="1" applyAlignment="1">
      <alignment horizontal="center" vertical="center"/>
    </xf>
    <xf numFmtId="4" fontId="20" fillId="0" borderId="11" xfId="10" applyNumberFormat="1" applyFont="1" applyBorder="1" applyAlignment="1">
      <alignment horizontal="center" vertical="center"/>
    </xf>
    <xf numFmtId="4" fontId="20" fillId="0" borderId="73" xfId="10" applyNumberFormat="1" applyFont="1" applyBorder="1" applyAlignment="1">
      <alignment horizontal="right" vertical="center"/>
    </xf>
    <xf numFmtId="4" fontId="53" fillId="0" borderId="14" xfId="10" applyNumberFormat="1" applyFont="1" applyBorder="1" applyAlignment="1">
      <alignment vertical="center"/>
    </xf>
    <xf numFmtId="4" fontId="53" fillId="0" borderId="15" xfId="10" applyNumberFormat="1" applyFont="1" applyBorder="1" applyAlignment="1">
      <alignment vertical="center"/>
    </xf>
    <xf numFmtId="4" fontId="53" fillId="0" borderId="85" xfId="10" applyNumberFormat="1" applyFont="1" applyBorder="1" applyAlignment="1">
      <alignment vertical="center"/>
    </xf>
    <xf numFmtId="0" fontId="20" fillId="0" borderId="36" xfId="10" applyBorder="1" applyAlignment="1">
      <alignment horizontal="center" vertical="center"/>
    </xf>
    <xf numFmtId="4" fontId="52" fillId="0" borderId="17" xfId="10" applyNumberFormat="1" applyFont="1" applyBorder="1" applyAlignment="1">
      <alignment vertical="center" wrapText="1"/>
    </xf>
    <xf numFmtId="4" fontId="52" fillId="0" borderId="70" xfId="10" applyNumberFormat="1" applyFont="1" applyBorder="1" applyAlignment="1">
      <alignment horizontal="left" vertical="center"/>
    </xf>
    <xf numFmtId="0" fontId="20" fillId="0" borderId="0" xfId="10" applyBorder="1" applyAlignment="1">
      <alignment horizontal="center" vertical="center"/>
    </xf>
    <xf numFmtId="0" fontId="54" fillId="0" borderId="48" xfId="10" applyFont="1" applyBorder="1" applyAlignment="1">
      <alignment horizontal="center" vertical="center"/>
    </xf>
    <xf numFmtId="0" fontId="54" fillId="0" borderId="0" xfId="10" applyFont="1" applyBorder="1" applyAlignment="1">
      <alignment horizontal="center" vertical="center"/>
    </xf>
    <xf numFmtId="0" fontId="20" fillId="0" borderId="44" xfId="10" applyBorder="1" applyAlignment="1"/>
    <xf numFmtId="0" fontId="20" fillId="0" borderId="6" xfId="10" applyFont="1" applyBorder="1" applyAlignment="1">
      <alignment vertical="center"/>
    </xf>
    <xf numFmtId="0" fontId="20" fillId="0" borderId="86" xfId="10" applyFont="1" applyBorder="1" applyAlignment="1">
      <alignment horizontal="center" vertical="center"/>
    </xf>
    <xf numFmtId="0" fontId="20" fillId="0" borderId="72" xfId="10" applyFont="1" applyBorder="1" applyAlignment="1">
      <alignment horizontal="center" vertical="center" wrapText="1"/>
    </xf>
    <xf numFmtId="0" fontId="20" fillId="0" borderId="73" xfId="10" applyFont="1" applyBorder="1" applyAlignment="1">
      <alignment horizontal="center" vertical="center" wrapText="1"/>
    </xf>
    <xf numFmtId="4" fontId="20" fillId="0" borderId="11" xfId="10" applyNumberFormat="1" applyFont="1" applyBorder="1" applyAlignment="1">
      <alignment horizontal="right" vertical="center"/>
    </xf>
    <xf numFmtId="4" fontId="20" fillId="0" borderId="73" xfId="10" applyNumberFormat="1" applyFont="1" applyBorder="1" applyAlignment="1">
      <alignment vertical="center"/>
    </xf>
    <xf numFmtId="4" fontId="20" fillId="0" borderId="10" xfId="10" applyNumberFormat="1" applyFont="1" applyFill="1" applyBorder="1" applyAlignment="1">
      <alignment vertical="center"/>
    </xf>
    <xf numFmtId="0" fontId="20" fillId="0" borderId="11" xfId="10" applyFont="1" applyBorder="1" applyAlignment="1">
      <alignment horizontal="center" vertical="center"/>
    </xf>
    <xf numFmtId="4" fontId="20" fillId="0" borderId="11" xfId="10" applyNumberFormat="1" applyFont="1" applyFill="1" applyBorder="1" applyAlignment="1">
      <alignment horizontal="center" vertical="center"/>
    </xf>
    <xf numFmtId="4" fontId="53" fillId="0" borderId="27" xfId="10" applyNumberFormat="1" applyFont="1" applyBorder="1" applyAlignment="1">
      <alignment vertical="center"/>
    </xf>
    <xf numFmtId="4" fontId="53" fillId="0" borderId="28" xfId="10" applyNumberFormat="1" applyFont="1" applyBorder="1" applyAlignment="1">
      <alignment vertical="center"/>
    </xf>
    <xf numFmtId="4" fontId="53" fillId="0" borderId="75" xfId="10" applyNumberFormat="1" applyFont="1" applyBorder="1" applyAlignment="1">
      <alignment vertical="center"/>
    </xf>
    <xf numFmtId="0" fontId="20" fillId="0" borderId="85" xfId="10" applyFont="1" applyBorder="1" applyAlignment="1">
      <alignment horizontal="center" vertical="center"/>
    </xf>
    <xf numFmtId="0" fontId="20" fillId="0" borderId="44" xfId="10" applyBorder="1" applyAlignment="1">
      <alignment horizontal="center" vertical="center"/>
    </xf>
    <xf numFmtId="4" fontId="52" fillId="0" borderId="70" xfId="10" applyNumberFormat="1" applyFont="1" applyBorder="1" applyAlignment="1">
      <alignment vertical="center"/>
    </xf>
    <xf numFmtId="0" fontId="20" fillId="0" borderId="48" xfId="10" applyBorder="1" applyAlignment="1">
      <alignment horizontal="center" vertical="center"/>
    </xf>
    <xf numFmtId="0" fontId="20" fillId="0" borderId="0" xfId="9" applyFont="1"/>
    <xf numFmtId="4" fontId="20" fillId="0" borderId="0" xfId="9" applyNumberFormat="1" applyFont="1"/>
    <xf numFmtId="0" fontId="58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4" fontId="61" fillId="0" borderId="11" xfId="0" applyNumberFormat="1" applyFont="1" applyFill="1" applyBorder="1" applyAlignment="1" applyProtection="1">
      <alignment horizontal="right" vertical="center" wrapText="1"/>
    </xf>
    <xf numFmtId="4" fontId="62" fillId="0" borderId="11" xfId="0" applyNumberFormat="1" applyFont="1" applyFill="1" applyBorder="1" applyAlignment="1" applyProtection="1">
      <alignment horizontal="right" vertical="center" wrapText="1"/>
    </xf>
    <xf numFmtId="4" fontId="63" fillId="0" borderId="11" xfId="0" applyNumberFormat="1" applyFont="1" applyFill="1" applyBorder="1" applyAlignment="1" applyProtection="1">
      <alignment horizontal="right" vertical="center" wrapText="1"/>
    </xf>
    <xf numFmtId="0" fontId="61" fillId="0" borderId="11" xfId="0" applyNumberFormat="1" applyFont="1" applyFill="1" applyBorder="1" applyAlignment="1" applyProtection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4" fontId="56" fillId="0" borderId="11" xfId="0" applyNumberFormat="1" applyFont="1" applyFill="1" applyBorder="1" applyAlignment="1" applyProtection="1">
      <alignment horizontal="right" vertical="center" wrapText="1"/>
    </xf>
    <xf numFmtId="4" fontId="64" fillId="0" borderId="11" xfId="0" applyNumberFormat="1" applyFont="1" applyFill="1" applyBorder="1" applyAlignment="1" applyProtection="1">
      <alignment horizontal="center" vertical="center" wrapText="1"/>
    </xf>
    <xf numFmtId="0" fontId="60" fillId="0" borderId="11" xfId="0" applyNumberFormat="1" applyFont="1" applyFill="1" applyBorder="1" applyAlignment="1" applyProtection="1">
      <alignment horizontal="center" vertical="center" textRotation="90" wrapText="1"/>
    </xf>
    <xf numFmtId="0" fontId="62" fillId="0" borderId="11" xfId="0" applyNumberFormat="1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0" fillId="0" borderId="11" xfId="0" applyNumberFormat="1" applyFont="1" applyFill="1" applyBorder="1" applyAlignment="1" applyProtection="1">
      <alignment horizontal="left" vertical="center" wrapText="1"/>
    </xf>
    <xf numFmtId="4" fontId="61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/>
    <xf numFmtId="0" fontId="0" fillId="0" borderId="11" xfId="0" applyFill="1" applyBorder="1"/>
    <xf numFmtId="0" fontId="5" fillId="0" borderId="11" xfId="0" applyFont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0" fontId="66" fillId="0" borderId="11" xfId="0" applyNumberFormat="1" applyFont="1" applyFill="1" applyBorder="1" applyAlignment="1" applyProtection="1">
      <alignment horizontal="center" vertical="center" textRotation="90" wrapText="1"/>
    </xf>
    <xf numFmtId="0" fontId="69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60" fillId="0" borderId="87" xfId="0" applyFont="1" applyBorder="1" applyAlignment="1">
      <alignment vertical="center" wrapText="1"/>
    </xf>
    <xf numFmtId="0" fontId="60" fillId="0" borderId="48" xfId="0" applyFont="1" applyBorder="1" applyAlignment="1">
      <alignment vertical="center" wrapText="1"/>
    </xf>
    <xf numFmtId="4" fontId="63" fillId="0" borderId="48" xfId="0" applyNumberFormat="1" applyFont="1" applyFill="1" applyBorder="1" applyAlignment="1" applyProtection="1">
      <alignment horizontal="right" vertical="center" wrapText="1"/>
    </xf>
    <xf numFmtId="0" fontId="5" fillId="0" borderId="49" xfId="0" applyFont="1" applyFill="1" applyBorder="1" applyAlignment="1">
      <alignment horizontal="center" vertical="center"/>
    </xf>
    <xf numFmtId="4" fontId="56" fillId="0" borderId="7" xfId="0" applyNumberFormat="1" applyFont="1" applyFill="1" applyBorder="1" applyAlignment="1" applyProtection="1">
      <alignment horizontal="right" vertical="center" wrapText="1"/>
    </xf>
    <xf numFmtId="0" fontId="8" fillId="0" borderId="8" xfId="0" applyFont="1" applyFill="1" applyBorder="1" applyAlignment="1">
      <alignment horizontal="center" vertical="center"/>
    </xf>
    <xf numFmtId="4" fontId="63" fillId="0" borderId="22" xfId="0" applyNumberFormat="1" applyFont="1" applyFill="1" applyBorder="1" applyAlignment="1" applyProtection="1">
      <alignment horizontal="right" vertical="center" wrapText="1"/>
    </xf>
    <xf numFmtId="0" fontId="8" fillId="0" borderId="23" xfId="0" applyFont="1" applyFill="1" applyBorder="1" applyAlignment="1">
      <alignment horizontal="center" vertical="center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/>
    <xf numFmtId="0" fontId="8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ill="1" applyBorder="1"/>
    <xf numFmtId="4" fontId="63" fillId="0" borderId="11" xfId="0" applyNumberFormat="1" applyFont="1" applyFill="1" applyBorder="1" applyAlignment="1">
      <alignment horizontal="right" vertical="center"/>
    </xf>
    <xf numFmtId="0" fontId="20" fillId="0" borderId="11" xfId="0" applyFont="1" applyFill="1" applyBorder="1"/>
    <xf numFmtId="0" fontId="20" fillId="0" borderId="15" xfId="0" applyFont="1" applyFill="1" applyBorder="1"/>
    <xf numFmtId="4" fontId="63" fillId="0" borderId="15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0" fontId="55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20" fillId="0" borderId="0" xfId="12" applyAlignment="1">
      <alignment horizontal="center"/>
    </xf>
    <xf numFmtId="0" fontId="4" fillId="0" borderId="0" xfId="12" applyFont="1"/>
    <xf numFmtId="4" fontId="20" fillId="0" borderId="0" xfId="12" applyNumberFormat="1"/>
    <xf numFmtId="0" fontId="20" fillId="0" borderId="0" xfId="12"/>
    <xf numFmtId="0" fontId="53" fillId="0" borderId="70" xfId="12" applyFont="1" applyBorder="1" applyAlignment="1">
      <alignment horizontal="center" vertical="center"/>
    </xf>
    <xf numFmtId="0" fontId="53" fillId="0" borderId="70" xfId="12" applyFont="1" applyBorder="1" applyAlignment="1">
      <alignment horizontal="center" vertical="center" wrapText="1"/>
    </xf>
    <xf numFmtId="0" fontId="4" fillId="0" borderId="70" xfId="9" applyFont="1" applyBorder="1" applyAlignment="1">
      <alignment horizontal="center" vertical="center" wrapText="1"/>
    </xf>
    <xf numFmtId="0" fontId="20" fillId="0" borderId="44" xfId="12" applyBorder="1" applyAlignment="1">
      <alignment horizontal="center"/>
    </xf>
    <xf numFmtId="0" fontId="20" fillId="0" borderId="0" xfId="12" applyBorder="1"/>
    <xf numFmtId="4" fontId="20" fillId="0" borderId="0" xfId="12" applyNumberFormat="1" applyAlignment="1">
      <alignment horizontal="center"/>
    </xf>
    <xf numFmtId="0" fontId="20" fillId="0" borderId="11" xfId="12" applyFont="1" applyFill="1" applyBorder="1" applyAlignment="1">
      <alignment vertical="center" wrapText="1"/>
    </xf>
    <xf numFmtId="4" fontId="20" fillId="0" borderId="11" xfId="12" applyNumberFormat="1" applyFont="1" applyFill="1" applyBorder="1" applyAlignment="1">
      <alignment vertical="center" wrapText="1"/>
    </xf>
    <xf numFmtId="4" fontId="20" fillId="0" borderId="11" xfId="12" applyNumberFormat="1" applyFill="1" applyBorder="1" applyAlignment="1">
      <alignment vertical="center" wrapText="1"/>
    </xf>
    <xf numFmtId="4" fontId="20" fillId="0" borderId="11" xfId="12" applyNumberFormat="1" applyFont="1" applyFill="1" applyBorder="1" applyAlignment="1">
      <alignment horizontal="center" vertical="center" wrapText="1"/>
    </xf>
    <xf numFmtId="0" fontId="53" fillId="0" borderId="11" xfId="12" applyFont="1" applyFill="1" applyBorder="1" applyAlignment="1">
      <alignment vertical="center" wrapText="1"/>
    </xf>
    <xf numFmtId="4" fontId="4" fillId="0" borderId="11" xfId="12" applyNumberFormat="1" applyFont="1" applyFill="1" applyBorder="1" applyAlignment="1">
      <alignment vertical="center" wrapText="1"/>
    </xf>
    <xf numFmtId="4" fontId="4" fillId="0" borderId="11" xfId="12" applyNumberFormat="1" applyFont="1" applyFill="1" applyBorder="1" applyAlignment="1">
      <alignment horizontal="center" vertical="center" wrapText="1"/>
    </xf>
    <xf numFmtId="0" fontId="20" fillId="0" borderId="11" xfId="12" applyFill="1" applyBorder="1" applyAlignment="1">
      <alignment vertical="center" wrapText="1"/>
    </xf>
    <xf numFmtId="0" fontId="20" fillId="0" borderId="11" xfId="12" applyFont="1" applyBorder="1" applyAlignment="1">
      <alignment vertical="center" wrapText="1"/>
    </xf>
    <xf numFmtId="4" fontId="20" fillId="0" borderId="11" xfId="12" applyNumberFormat="1" applyFont="1" applyBorder="1" applyAlignment="1">
      <alignment vertical="center" wrapText="1"/>
    </xf>
    <xf numFmtId="0" fontId="53" fillId="0" borderId="11" xfId="12" applyFont="1" applyBorder="1" applyAlignment="1">
      <alignment vertical="center" wrapText="1"/>
    </xf>
    <xf numFmtId="4" fontId="4" fillId="0" borderId="11" xfId="12" applyNumberFormat="1" applyFont="1" applyBorder="1" applyAlignment="1">
      <alignment vertical="center" wrapText="1"/>
    </xf>
    <xf numFmtId="4" fontId="4" fillId="0" borderId="11" xfId="12" applyNumberFormat="1" applyFont="1" applyBorder="1" applyAlignment="1">
      <alignment horizontal="center" vertical="center" wrapText="1"/>
    </xf>
    <xf numFmtId="0" fontId="20" fillId="0" borderId="11" xfId="12" applyBorder="1" applyAlignment="1">
      <alignment vertical="center" wrapText="1"/>
    </xf>
    <xf numFmtId="4" fontId="20" fillId="0" borderId="11" xfId="12" applyNumberFormat="1" applyFont="1" applyBorder="1" applyAlignment="1">
      <alignment horizontal="center" vertical="center" wrapText="1"/>
    </xf>
    <xf numFmtId="4" fontId="20" fillId="0" borderId="11" xfId="12" applyNumberFormat="1" applyBorder="1" applyAlignment="1">
      <alignment horizontal="center" vertical="center" wrapText="1"/>
    </xf>
    <xf numFmtId="4" fontId="53" fillId="0" borderId="7" xfId="12" applyNumberFormat="1" applyFont="1" applyFill="1" applyBorder="1" applyAlignment="1">
      <alignment vertical="center" wrapText="1"/>
    </xf>
    <xf numFmtId="4" fontId="4" fillId="0" borderId="11" xfId="12" applyNumberFormat="1" applyFont="1" applyBorder="1" applyAlignment="1">
      <alignment vertical="center"/>
    </xf>
    <xf numFmtId="4" fontId="4" fillId="0" borderId="15" xfId="12" applyNumberFormat="1" applyFont="1" applyBorder="1" applyAlignment="1">
      <alignment vertical="center"/>
    </xf>
    <xf numFmtId="0" fontId="20" fillId="0" borderId="0" xfId="0" applyFont="1"/>
    <xf numFmtId="0" fontId="20" fillId="0" borderId="0" xfId="10"/>
    <xf numFmtId="0" fontId="20" fillId="0" borderId="0" xfId="9" applyBorder="1"/>
    <xf numFmtId="0" fontId="20" fillId="0" borderId="0" xfId="9" applyAlignment="1"/>
    <xf numFmtId="0" fontId="20" fillId="0" borderId="89" xfId="9" applyBorder="1"/>
    <xf numFmtId="0" fontId="20" fillId="0" borderId="90" xfId="9" applyBorder="1"/>
    <xf numFmtId="0" fontId="34" fillId="0" borderId="0" xfId="9" applyFont="1" applyBorder="1" applyAlignment="1">
      <alignment vertical="center"/>
    </xf>
    <xf numFmtId="4" fontId="34" fillId="7" borderId="22" xfId="9" applyNumberFormat="1" applyFont="1" applyFill="1" applyBorder="1" applyAlignment="1" applyProtection="1">
      <alignment horizontal="right" vertical="center" wrapText="1"/>
    </xf>
    <xf numFmtId="43" fontId="34" fillId="7" borderId="22" xfId="13" applyFont="1" applyFill="1" applyBorder="1" applyAlignment="1" applyProtection="1">
      <alignment horizontal="right" vertical="center"/>
    </xf>
    <xf numFmtId="43" fontId="72" fillId="7" borderId="21" xfId="13" applyFont="1" applyFill="1" applyBorder="1" applyAlignment="1" applyProtection="1">
      <alignment horizontal="right" vertical="center"/>
    </xf>
    <xf numFmtId="43" fontId="72" fillId="7" borderId="72" xfId="13" applyFont="1" applyFill="1" applyBorder="1" applyAlignment="1" applyProtection="1">
      <alignment horizontal="right" vertical="center"/>
    </xf>
    <xf numFmtId="43" fontId="34" fillId="7" borderId="88" xfId="13" applyFont="1" applyFill="1" applyBorder="1" applyAlignment="1" applyProtection="1">
      <alignment horizontal="center" vertical="center"/>
    </xf>
    <xf numFmtId="0" fontId="34" fillId="0" borderId="91" xfId="9" applyFont="1" applyBorder="1" applyAlignment="1">
      <alignment vertical="center"/>
    </xf>
    <xf numFmtId="43" fontId="34" fillId="7" borderId="12" xfId="13" applyFont="1" applyFill="1" applyBorder="1" applyAlignment="1" applyProtection="1">
      <alignment horizontal="center" vertical="center" shrinkToFit="1"/>
    </xf>
    <xf numFmtId="0" fontId="34" fillId="0" borderId="20" xfId="9" applyFont="1" applyBorder="1" applyAlignment="1">
      <alignment vertical="center"/>
    </xf>
    <xf numFmtId="4" fontId="34" fillId="7" borderId="11" xfId="9" applyNumberFormat="1" applyFont="1" applyFill="1" applyBorder="1" applyAlignment="1" applyProtection="1">
      <alignment horizontal="right" vertical="center" wrapText="1"/>
    </xf>
    <xf numFmtId="43" fontId="34" fillId="7" borderId="11" xfId="13" applyFont="1" applyFill="1" applyBorder="1" applyAlignment="1" applyProtection="1">
      <alignment horizontal="right" vertical="center"/>
    </xf>
    <xf numFmtId="43" fontId="72" fillId="7" borderId="20" xfId="13" applyFont="1" applyFill="1" applyBorder="1" applyAlignment="1" applyProtection="1">
      <alignment horizontal="right" vertical="center"/>
    </xf>
    <xf numFmtId="43" fontId="72" fillId="7" borderId="73" xfId="13" applyFont="1" applyFill="1" applyBorder="1" applyAlignment="1" applyProtection="1">
      <alignment horizontal="right" vertical="center"/>
    </xf>
    <xf numFmtId="43" fontId="34" fillId="7" borderId="79" xfId="13" applyFont="1" applyFill="1" applyBorder="1" applyAlignment="1" applyProtection="1">
      <alignment horizontal="center" vertical="center" shrinkToFit="1"/>
    </xf>
    <xf numFmtId="0" fontId="72" fillId="7" borderId="11" xfId="9" applyNumberFormat="1" applyFont="1" applyFill="1" applyBorder="1" applyAlignment="1" applyProtection="1">
      <alignment horizontal="left" vertical="center" wrapText="1"/>
    </xf>
    <xf numFmtId="43" fontId="34" fillId="7" borderId="12" xfId="13" applyFont="1" applyFill="1" applyBorder="1" applyAlignment="1" applyProtection="1">
      <alignment horizontal="center" vertical="center"/>
    </xf>
    <xf numFmtId="0" fontId="34" fillId="7" borderId="11" xfId="9" applyNumberFormat="1" applyFont="1" applyFill="1" applyBorder="1" applyAlignment="1" applyProtection="1">
      <alignment horizontal="right" vertical="center" wrapText="1"/>
    </xf>
    <xf numFmtId="4" fontId="34" fillId="7" borderId="73" xfId="9" applyNumberFormat="1" applyFont="1" applyFill="1" applyBorder="1" applyAlignment="1" applyProtection="1">
      <alignment horizontal="right" vertical="center" wrapText="1"/>
    </xf>
    <xf numFmtId="4" fontId="20" fillId="0" borderId="0" xfId="9" applyNumberFormat="1"/>
    <xf numFmtId="4" fontId="12" fillId="7" borderId="11" xfId="9" applyNumberFormat="1" applyFont="1" applyFill="1" applyBorder="1" applyAlignment="1" applyProtection="1">
      <alignment horizontal="right" vertical="center" wrapText="1"/>
    </xf>
    <xf numFmtId="0" fontId="34" fillId="0" borderId="92" xfId="9" applyFont="1" applyBorder="1" applyAlignment="1">
      <alignment vertical="center"/>
    </xf>
    <xf numFmtId="4" fontId="34" fillId="7" borderId="28" xfId="9" applyNumberFormat="1" applyFont="1" applyFill="1" applyBorder="1" applyAlignment="1" applyProtection="1">
      <alignment horizontal="right" vertical="center" wrapText="1"/>
    </xf>
    <xf numFmtId="43" fontId="34" fillId="7" borderId="28" xfId="13" applyFont="1" applyFill="1" applyBorder="1" applyAlignment="1" applyProtection="1">
      <alignment horizontal="right" vertical="center"/>
    </xf>
    <xf numFmtId="43" fontId="72" fillId="7" borderId="35" xfId="13" applyFont="1" applyFill="1" applyBorder="1" applyAlignment="1" applyProtection="1">
      <alignment horizontal="right" vertical="center"/>
    </xf>
    <xf numFmtId="43" fontId="72" fillId="7" borderId="75" xfId="13" applyFont="1" applyFill="1" applyBorder="1" applyAlignment="1" applyProtection="1">
      <alignment horizontal="right" vertical="center"/>
    </xf>
    <xf numFmtId="43" fontId="34" fillId="7" borderId="36" xfId="13" applyFont="1" applyFill="1" applyBorder="1" applyAlignment="1" applyProtection="1">
      <alignment horizontal="center" vertical="center"/>
    </xf>
    <xf numFmtId="0" fontId="34" fillId="0" borderId="0" xfId="9" applyFont="1" applyAlignment="1">
      <alignment vertical="center"/>
    </xf>
    <xf numFmtId="0" fontId="34" fillId="0" borderId="0" xfId="9" applyFont="1" applyAlignment="1">
      <alignment horizontal="center" vertical="center"/>
    </xf>
    <xf numFmtId="0" fontId="20" fillId="0" borderId="5" xfId="9" applyBorder="1"/>
    <xf numFmtId="43" fontId="34" fillId="7" borderId="83" xfId="13" applyFont="1" applyFill="1" applyBorder="1" applyAlignment="1" applyProtection="1">
      <alignment horizontal="center" vertical="center"/>
    </xf>
    <xf numFmtId="0" fontId="20" fillId="0" borderId="9" xfId="9" applyBorder="1"/>
    <xf numFmtId="43" fontId="34" fillId="7" borderId="23" xfId="13" applyFont="1" applyFill="1" applyBorder="1" applyAlignment="1" applyProtection="1">
      <alignment horizontal="center" vertical="center"/>
    </xf>
    <xf numFmtId="0" fontId="73" fillId="7" borderId="0" xfId="9" applyNumberFormat="1" applyFont="1" applyFill="1" applyBorder="1" applyAlignment="1" applyProtection="1">
      <alignment horizontal="left" vertical="top" wrapText="1"/>
    </xf>
    <xf numFmtId="0" fontId="73" fillId="7" borderId="0" xfId="9" applyFont="1" applyFill="1" applyBorder="1" applyAlignment="1"/>
    <xf numFmtId="4" fontId="73" fillId="7" borderId="0" xfId="9" applyNumberFormat="1" applyFont="1" applyFill="1" applyBorder="1" applyAlignment="1" applyProtection="1">
      <alignment horizontal="right" vertical="top" wrapText="1"/>
    </xf>
    <xf numFmtId="43" fontId="73" fillId="7" borderId="0" xfId="13" applyFont="1" applyFill="1" applyBorder="1" applyAlignment="1" applyProtection="1">
      <alignment horizontal="right" vertical="top"/>
    </xf>
    <xf numFmtId="43" fontId="74" fillId="7" borderId="0" xfId="13" applyFont="1" applyFill="1" applyBorder="1" applyAlignment="1" applyProtection="1">
      <alignment horizontal="right" vertical="top"/>
    </xf>
    <xf numFmtId="43" fontId="74" fillId="7" borderId="0" xfId="13" applyFont="1" applyFill="1" applyBorder="1" applyAlignment="1" applyProtection="1">
      <alignment horizontal="center" vertical="top"/>
    </xf>
    <xf numFmtId="0" fontId="73" fillId="7" borderId="0" xfId="9" applyNumberFormat="1" applyFont="1" applyFill="1" applyBorder="1" applyAlignment="1" applyProtection="1">
      <alignment horizontal="left" vertical="top"/>
    </xf>
    <xf numFmtId="0" fontId="34" fillId="7" borderId="0" xfId="9" applyFont="1" applyFill="1" applyBorder="1" applyAlignment="1"/>
    <xf numFmtId="0" fontId="34" fillId="7" borderId="0" xfId="9" applyFont="1" applyFill="1" applyBorder="1" applyAlignment="1">
      <alignment horizontal="center"/>
    </xf>
    <xf numFmtId="0" fontId="73" fillId="0" borderId="0" xfId="9" applyFont="1" applyAlignment="1"/>
    <xf numFmtId="0" fontId="34" fillId="0" borderId="0" xfId="9" applyFont="1" applyAlignment="1"/>
    <xf numFmtId="0" fontId="34" fillId="0" borderId="0" xfId="9" applyFont="1"/>
    <xf numFmtId="0" fontId="6" fillId="5" borderId="1" xfId="9" applyFont="1" applyFill="1" applyBorder="1" applyAlignment="1">
      <alignment horizontal="center" vertical="center"/>
    </xf>
    <xf numFmtId="0" fontId="6" fillId="5" borderId="3" xfId="9" applyFont="1" applyFill="1" applyBorder="1" applyAlignment="1">
      <alignment horizontal="center" vertical="center" shrinkToFit="1"/>
    </xf>
    <xf numFmtId="0" fontId="6" fillId="5" borderId="3" xfId="9" applyFont="1" applyFill="1" applyBorder="1" applyAlignment="1">
      <alignment horizontal="center" vertical="center"/>
    </xf>
    <xf numFmtId="0" fontId="6" fillId="5" borderId="4" xfId="9" applyFont="1" applyFill="1" applyBorder="1" applyAlignment="1">
      <alignment horizontal="center" vertical="center"/>
    </xf>
    <xf numFmtId="0" fontId="6" fillId="5" borderId="1" xfId="9" applyFont="1" applyFill="1" applyBorder="1" applyAlignment="1">
      <alignment horizontal="center" vertical="center" textRotation="90"/>
    </xf>
    <xf numFmtId="0" fontId="6" fillId="5" borderId="30" xfId="9" applyFont="1" applyFill="1" applyBorder="1" applyAlignment="1">
      <alignment horizontal="center" vertical="center"/>
    </xf>
    <xf numFmtId="0" fontId="6" fillId="5" borderId="70" xfId="9" applyFont="1" applyFill="1" applyBorder="1" applyAlignment="1">
      <alignment horizontal="center" vertical="center"/>
    </xf>
    <xf numFmtId="0" fontId="73" fillId="5" borderId="70" xfId="9" applyFont="1" applyFill="1" applyBorder="1" applyAlignment="1">
      <alignment horizontal="center" vertical="center"/>
    </xf>
    <xf numFmtId="0" fontId="73" fillId="5" borderId="70" xfId="9" applyFont="1" applyFill="1" applyBorder="1" applyAlignment="1">
      <alignment horizontal="center" vertical="center" shrinkToFit="1"/>
    </xf>
    <xf numFmtId="0" fontId="73" fillId="5" borderId="70" xfId="9" applyFont="1" applyFill="1" applyBorder="1" applyAlignment="1">
      <alignment horizontal="center" vertical="center" textRotation="90"/>
    </xf>
    <xf numFmtId="0" fontId="72" fillId="5" borderId="57" xfId="9" applyNumberFormat="1" applyFont="1" applyFill="1" applyBorder="1" applyAlignment="1" applyProtection="1">
      <alignment horizontal="left" vertical="center" wrapText="1"/>
    </xf>
    <xf numFmtId="4" fontId="73" fillId="5" borderId="57" xfId="9" applyNumberFormat="1" applyFont="1" applyFill="1" applyBorder="1" applyAlignment="1" applyProtection="1">
      <alignment horizontal="right" vertical="center" wrapText="1"/>
    </xf>
    <xf numFmtId="4" fontId="73" fillId="5" borderId="70" xfId="9" applyNumberFormat="1" applyFont="1" applyFill="1" applyBorder="1" applyAlignment="1" applyProtection="1">
      <alignment horizontal="right" vertical="center" wrapText="1"/>
    </xf>
    <xf numFmtId="43" fontId="73" fillId="5" borderId="57" xfId="13" applyFont="1" applyFill="1" applyBorder="1" applyAlignment="1" applyProtection="1">
      <alignment horizontal="right" vertical="center"/>
    </xf>
    <xf numFmtId="43" fontId="72" fillId="5" borderId="57" xfId="13" applyFont="1" applyFill="1" applyBorder="1" applyAlignment="1" applyProtection="1">
      <alignment horizontal="right" vertical="center"/>
    </xf>
    <xf numFmtId="43" fontId="72" fillId="5" borderId="70" xfId="13" applyFont="1" applyFill="1" applyBorder="1" applyAlignment="1" applyProtection="1">
      <alignment horizontal="center" vertical="center"/>
    </xf>
    <xf numFmtId="4" fontId="73" fillId="5" borderId="3" xfId="9" applyNumberFormat="1" applyFont="1" applyFill="1" applyBorder="1" applyAlignment="1" applyProtection="1">
      <alignment horizontal="right" vertical="center" wrapText="1"/>
    </xf>
    <xf numFmtId="43" fontId="73" fillId="5" borderId="3" xfId="13" applyFont="1" applyFill="1" applyBorder="1" applyAlignment="1" applyProtection="1">
      <alignment horizontal="right" vertical="center"/>
    </xf>
    <xf numFmtId="43" fontId="74" fillId="5" borderId="18" xfId="13" applyFont="1" applyFill="1" applyBorder="1" applyAlignment="1" applyProtection="1">
      <alignment horizontal="right" vertical="center"/>
    </xf>
    <xf numFmtId="43" fontId="74" fillId="5" borderId="30" xfId="13" applyFont="1" applyFill="1" applyBorder="1" applyAlignment="1" applyProtection="1">
      <alignment horizontal="right" vertical="center"/>
    </xf>
    <xf numFmtId="43" fontId="74" fillId="5" borderId="4" xfId="13" applyFont="1" applyFill="1" applyBorder="1" applyAlignment="1" applyProtection="1">
      <alignment horizontal="center" vertical="center"/>
    </xf>
    <xf numFmtId="0" fontId="20" fillId="0" borderId="0" xfId="14"/>
    <xf numFmtId="0" fontId="20" fillId="0" borderId="0" xfId="14" applyAlignment="1">
      <alignment horizontal="center"/>
    </xf>
    <xf numFmtId="0" fontId="19" fillId="2" borderId="39" xfId="14" applyFont="1" applyFill="1" applyBorder="1" applyAlignment="1">
      <alignment horizontal="center" vertical="center"/>
    </xf>
    <xf numFmtId="0" fontId="19" fillId="2" borderId="2" xfId="14" applyFont="1" applyFill="1" applyBorder="1" applyAlignment="1">
      <alignment horizontal="center" vertical="center"/>
    </xf>
    <xf numFmtId="0" fontId="19" fillId="2" borderId="40" xfId="14" applyFont="1" applyFill="1" applyBorder="1" applyAlignment="1">
      <alignment horizontal="center" vertical="center" wrapText="1"/>
    </xf>
    <xf numFmtId="0" fontId="22" fillId="2" borderId="40" xfId="14" applyFont="1" applyFill="1" applyBorder="1" applyAlignment="1">
      <alignment horizontal="center" textRotation="90" wrapText="1"/>
    </xf>
    <xf numFmtId="0" fontId="19" fillId="2" borderId="42" xfId="14" applyFont="1" applyFill="1" applyBorder="1" applyAlignment="1">
      <alignment horizontal="center" vertical="center" wrapText="1"/>
    </xf>
    <xf numFmtId="0" fontId="20" fillId="0" borderId="39" xfId="14" applyNumberFormat="1" applyFont="1" applyFill="1" applyBorder="1" applyAlignment="1" applyProtection="1">
      <alignment horizontal="center" vertical="center" wrapText="1"/>
    </xf>
    <xf numFmtId="0" fontId="20" fillId="0" borderId="2" xfId="14" applyNumberFormat="1" applyFont="1" applyFill="1" applyBorder="1" applyAlignment="1" applyProtection="1">
      <alignment horizontal="left" vertical="top" wrapText="1"/>
    </xf>
    <xf numFmtId="4" fontId="20" fillId="0" borderId="7" xfId="14" applyNumberFormat="1" applyFont="1" applyFill="1" applyBorder="1" applyAlignment="1" applyProtection="1">
      <alignment horizontal="right" vertical="center" wrapText="1"/>
    </xf>
    <xf numFmtId="4" fontId="20" fillId="0" borderId="7" xfId="14" applyNumberFormat="1" applyFont="1" applyBorder="1" applyAlignment="1">
      <alignment horizontal="right" vertical="center"/>
    </xf>
    <xf numFmtId="0" fontId="76" fillId="0" borderId="7" xfId="14" applyFont="1" applyBorder="1" applyAlignment="1">
      <alignment horizontal="center" vertical="center"/>
    </xf>
    <xf numFmtId="4" fontId="20" fillId="0" borderId="8" xfId="14" applyNumberFormat="1" applyFont="1" applyFill="1" applyBorder="1" applyAlignment="1" applyProtection="1">
      <alignment horizontal="right" vertical="center" wrapText="1"/>
    </xf>
    <xf numFmtId="0" fontId="20" fillId="0" borderId="10" xfId="14" applyNumberFormat="1" applyFont="1" applyFill="1" applyBorder="1" applyAlignment="1" applyProtection="1">
      <alignment horizontal="center" vertical="center" wrapText="1"/>
    </xf>
    <xf numFmtId="0" fontId="20" fillId="0" borderId="11" xfId="14" applyNumberFormat="1" applyFont="1" applyFill="1" applyBorder="1" applyAlignment="1" applyProtection="1">
      <alignment horizontal="left" vertical="top" wrapText="1"/>
    </xf>
    <xf numFmtId="4" fontId="20" fillId="0" borderId="22" xfId="14" applyNumberFormat="1" applyFont="1" applyFill="1" applyBorder="1" applyAlignment="1" applyProtection="1">
      <alignment horizontal="right" vertical="center" wrapText="1"/>
    </xf>
    <xf numFmtId="4" fontId="20" fillId="0" borderId="22" xfId="14" applyNumberFormat="1" applyFont="1" applyBorder="1" applyAlignment="1">
      <alignment horizontal="right" vertical="center"/>
    </xf>
    <xf numFmtId="0" fontId="76" fillId="0" borderId="22" xfId="14" applyFont="1" applyBorder="1" applyAlignment="1">
      <alignment horizontal="center" vertical="center"/>
    </xf>
    <xf numFmtId="4" fontId="20" fillId="0" borderId="23" xfId="14" applyNumberFormat="1" applyFont="1" applyFill="1" applyBorder="1" applyAlignment="1" applyProtection="1">
      <alignment horizontal="right" vertical="center" wrapText="1"/>
    </xf>
    <xf numFmtId="0" fontId="20" fillId="0" borderId="29" xfId="14" applyNumberFormat="1" applyFont="1" applyFill="1" applyBorder="1" applyAlignment="1" applyProtection="1">
      <alignment horizontal="center" vertical="center" wrapText="1"/>
    </xf>
    <xf numFmtId="0" fontId="20" fillId="0" borderId="22" xfId="14" applyNumberFormat="1" applyFont="1" applyFill="1" applyBorder="1" applyAlignment="1" applyProtection="1">
      <alignment horizontal="left" vertical="top" wrapText="1"/>
    </xf>
    <xf numFmtId="4" fontId="20" fillId="0" borderId="11" xfId="14" applyNumberFormat="1" applyFont="1" applyFill="1" applyBorder="1" applyAlignment="1" applyProtection="1">
      <alignment horizontal="right" vertical="center" wrapText="1"/>
    </xf>
    <xf numFmtId="4" fontId="20" fillId="0" borderId="11" xfId="14" applyNumberFormat="1" applyFont="1" applyBorder="1" applyAlignment="1">
      <alignment horizontal="right" vertical="center"/>
    </xf>
    <xf numFmtId="0" fontId="76" fillId="0" borderId="11" xfId="14" applyFont="1" applyBorder="1" applyAlignment="1">
      <alignment horizontal="center" vertical="center"/>
    </xf>
    <xf numFmtId="4" fontId="20" fillId="0" borderId="12" xfId="14" applyNumberFormat="1" applyFont="1" applyBorder="1" applyAlignment="1">
      <alignment horizontal="right" vertical="center"/>
    </xf>
    <xf numFmtId="0" fontId="20" fillId="0" borderId="53" xfId="14" applyNumberFormat="1" applyFont="1" applyFill="1" applyBorder="1" applyAlignment="1" applyProtection="1">
      <alignment horizontal="center" vertical="center" wrapText="1"/>
    </xf>
    <xf numFmtId="0" fontId="20" fillId="0" borderId="15" xfId="14" applyNumberFormat="1" applyFont="1" applyFill="1" applyBorder="1" applyAlignment="1" applyProtection="1">
      <alignment horizontal="left" vertical="top" wrapText="1"/>
    </xf>
    <xf numFmtId="4" fontId="20" fillId="0" borderId="15" xfId="14" applyNumberFormat="1" applyFont="1" applyFill="1" applyBorder="1" applyAlignment="1" applyProtection="1">
      <alignment horizontal="right" vertical="center" wrapText="1"/>
    </xf>
    <xf numFmtId="4" fontId="20" fillId="0" borderId="15" xfId="14" applyNumberFormat="1" applyFont="1" applyBorder="1" applyAlignment="1">
      <alignment horizontal="right" vertical="center"/>
    </xf>
    <xf numFmtId="0" fontId="76" fillId="0" borderId="15" xfId="14" applyFont="1" applyBorder="1" applyAlignment="1">
      <alignment horizontal="center" vertical="center"/>
    </xf>
    <xf numFmtId="4" fontId="20" fillId="0" borderId="16" xfId="14" applyNumberFormat="1" applyFont="1" applyBorder="1" applyAlignment="1">
      <alignment horizontal="right" vertical="center"/>
    </xf>
    <xf numFmtId="0" fontId="19" fillId="2" borderId="1" xfId="14" applyFont="1" applyFill="1" applyBorder="1" applyAlignment="1">
      <alignment horizontal="center" vertical="center"/>
    </xf>
    <xf numFmtId="0" fontId="19" fillId="2" borderId="3" xfId="14" applyFont="1" applyFill="1" applyBorder="1" applyAlignment="1">
      <alignment horizontal="center" vertical="center"/>
    </xf>
    <xf numFmtId="0" fontId="19" fillId="2" borderId="30" xfId="14" applyFont="1" applyFill="1" applyBorder="1" applyAlignment="1">
      <alignment horizontal="center" vertical="center" wrapText="1"/>
    </xf>
    <xf numFmtId="0" fontId="22" fillId="2" borderId="30" xfId="14" applyFont="1" applyFill="1" applyBorder="1" applyAlignment="1">
      <alignment horizontal="center" textRotation="90" wrapText="1"/>
    </xf>
    <xf numFmtId="0" fontId="19" fillId="2" borderId="4" xfId="14" applyFont="1" applyFill="1" applyBorder="1" applyAlignment="1">
      <alignment horizontal="center" vertical="center" wrapText="1"/>
    </xf>
    <xf numFmtId="4" fontId="20" fillId="0" borderId="23" xfId="14" applyNumberFormat="1" applyFont="1" applyBorder="1" applyAlignment="1">
      <alignment horizontal="right" vertical="center"/>
    </xf>
    <xf numFmtId="0" fontId="0" fillId="0" borderId="0" xfId="14" applyFont="1"/>
    <xf numFmtId="4" fontId="20" fillId="7" borderId="11" xfId="9" applyNumberFormat="1" applyFont="1" applyFill="1" applyBorder="1" applyAlignment="1" applyProtection="1">
      <alignment horizontal="right" vertical="center" wrapText="1"/>
    </xf>
    <xf numFmtId="4" fontId="61" fillId="7" borderId="11" xfId="9" applyNumberFormat="1" applyFont="1" applyFill="1" applyBorder="1" applyAlignment="1" applyProtection="1">
      <alignment horizontal="right" vertical="center" wrapText="1"/>
    </xf>
    <xf numFmtId="0" fontId="20" fillId="0" borderId="0" xfId="14" applyNumberFormat="1" applyFont="1" applyFill="1" applyBorder="1" applyAlignment="1" applyProtection="1">
      <alignment horizontal="center" vertical="center" wrapText="1"/>
    </xf>
    <xf numFmtId="4" fontId="20" fillId="0" borderId="12" xfId="14" applyNumberFormat="1" applyFont="1" applyFill="1" applyBorder="1" applyAlignment="1" applyProtection="1">
      <alignment horizontal="right" vertical="center" wrapText="1"/>
    </xf>
    <xf numFmtId="0" fontId="12" fillId="0" borderId="0" xfId="14" applyNumberFormat="1" applyFont="1" applyFill="1" applyBorder="1" applyAlignment="1" applyProtection="1">
      <alignment horizontal="center" vertical="center" wrapText="1"/>
    </xf>
    <xf numFmtId="0" fontId="12" fillId="0" borderId="0" xfId="14" applyNumberFormat="1" applyFont="1" applyFill="1" applyBorder="1" applyAlignment="1" applyProtection="1">
      <alignment horizontal="left" vertical="top" wrapText="1"/>
    </xf>
    <xf numFmtId="0" fontId="27" fillId="0" borderId="0" xfId="14" applyFont="1"/>
    <xf numFmtId="49" fontId="77" fillId="0" borderId="0" xfId="14" applyNumberFormat="1" applyFont="1" applyAlignment="1">
      <alignment horizontal="right" vertical="top"/>
    </xf>
    <xf numFmtId="4" fontId="19" fillId="5" borderId="87" xfId="14" applyNumberFormat="1" applyFont="1" applyFill="1" applyBorder="1"/>
    <xf numFmtId="4" fontId="19" fillId="5" borderId="50" xfId="14" applyNumberFormat="1" applyFont="1" applyFill="1" applyBorder="1"/>
    <xf numFmtId="4" fontId="19" fillId="5" borderId="87" xfId="14" applyNumberFormat="1" applyFont="1" applyFill="1" applyBorder="1" applyAlignment="1">
      <alignment horizontal="center"/>
    </xf>
    <xf numFmtId="4" fontId="19" fillId="5" borderId="51" xfId="14" applyNumberFormat="1" applyFont="1" applyFill="1" applyBorder="1"/>
    <xf numFmtId="0" fontId="12" fillId="0" borderId="0" xfId="9" applyFont="1"/>
    <xf numFmtId="0" fontId="12" fillId="0" borderId="22" xfId="9" applyNumberFormat="1" applyFont="1" applyFill="1" applyBorder="1" applyAlignment="1" applyProtection="1">
      <alignment horizontal="left" vertical="center" wrapText="1"/>
    </xf>
    <xf numFmtId="4" fontId="12" fillId="0" borderId="23" xfId="9" applyNumberFormat="1" applyFont="1" applyFill="1" applyBorder="1" applyAlignment="1" applyProtection="1">
      <alignment horizontal="right" vertical="center" wrapText="1"/>
    </xf>
    <xf numFmtId="0" fontId="12" fillId="0" borderId="11" xfId="9" applyNumberFormat="1" applyFont="1" applyFill="1" applyBorder="1" applyAlignment="1" applyProtection="1">
      <alignment horizontal="left" vertical="center" wrapText="1"/>
    </xf>
    <xf numFmtId="4" fontId="12" fillId="0" borderId="12" xfId="9" applyNumberFormat="1" applyFont="1" applyFill="1" applyBorder="1" applyAlignment="1" applyProtection="1">
      <alignment horizontal="right" vertical="center" wrapText="1"/>
    </xf>
    <xf numFmtId="0" fontId="12" fillId="0" borderId="28" xfId="9" applyNumberFormat="1" applyFont="1" applyFill="1" applyBorder="1" applyAlignment="1" applyProtection="1">
      <alignment horizontal="left" vertical="center" wrapText="1"/>
    </xf>
    <xf numFmtId="4" fontId="12" fillId="0" borderId="36" xfId="9" applyNumberFormat="1" applyFont="1" applyFill="1" applyBorder="1" applyAlignment="1" applyProtection="1">
      <alignment horizontal="right" vertical="center" wrapText="1"/>
    </xf>
    <xf numFmtId="0" fontId="6" fillId="0" borderId="17" xfId="9" applyFont="1" applyBorder="1" applyAlignment="1"/>
    <xf numFmtId="0" fontId="6" fillId="0" borderId="57" xfId="9" applyFont="1" applyBorder="1" applyAlignment="1"/>
    <xf numFmtId="0" fontId="6" fillId="0" borderId="18" xfId="9" applyFont="1" applyBorder="1" applyAlignment="1"/>
    <xf numFmtId="4" fontId="6" fillId="7" borderId="4" xfId="9" applyNumberFormat="1" applyFont="1" applyFill="1" applyBorder="1" applyAlignment="1" applyProtection="1">
      <alignment horizontal="right" vertical="center" wrapText="1"/>
    </xf>
    <xf numFmtId="0" fontId="12" fillId="7" borderId="22" xfId="9" applyNumberFormat="1" applyFont="1" applyFill="1" applyBorder="1" applyAlignment="1" applyProtection="1">
      <alignment horizontal="left" vertical="center" wrapText="1"/>
    </xf>
    <xf numFmtId="4" fontId="12" fillId="7" borderId="23" xfId="9" applyNumberFormat="1" applyFont="1" applyFill="1" applyBorder="1" applyAlignment="1" applyProtection="1">
      <alignment horizontal="right" vertical="center" wrapText="1"/>
    </xf>
    <xf numFmtId="0" fontId="12" fillId="7" borderId="28" xfId="9" applyNumberFormat="1" applyFont="1" applyFill="1" applyBorder="1" applyAlignment="1" applyProtection="1">
      <alignment horizontal="left" vertical="center" wrapText="1"/>
    </xf>
    <xf numFmtId="4" fontId="12" fillId="7" borderId="36" xfId="9" applyNumberFormat="1" applyFont="1" applyFill="1" applyBorder="1" applyAlignment="1" applyProtection="1">
      <alignment horizontal="right" vertical="center" wrapText="1"/>
    </xf>
    <xf numFmtId="0" fontId="12" fillId="0" borderId="66" xfId="9" applyNumberFormat="1" applyFont="1" applyFill="1" applyBorder="1" applyAlignment="1" applyProtection="1">
      <alignment horizontal="left" vertical="center" wrapText="1"/>
    </xf>
    <xf numFmtId="4" fontId="12" fillId="0" borderId="67" xfId="9" applyNumberFormat="1" applyFont="1" applyFill="1" applyBorder="1" applyAlignment="1" applyProtection="1">
      <alignment horizontal="right" vertical="center" wrapText="1"/>
    </xf>
    <xf numFmtId="0" fontId="12" fillId="0" borderId="10" xfId="9" applyNumberFormat="1" applyFont="1" applyFill="1" applyBorder="1" applyAlignment="1" applyProtection="1">
      <alignment horizontal="left" vertical="center" wrapText="1"/>
    </xf>
    <xf numFmtId="4" fontId="6" fillId="0" borderId="16" xfId="9" applyNumberFormat="1" applyFont="1" applyFill="1" applyBorder="1" applyAlignment="1" applyProtection="1">
      <alignment horizontal="right" vertical="center" wrapText="1"/>
    </xf>
    <xf numFmtId="0" fontId="12" fillId="0" borderId="7" xfId="9" applyNumberFormat="1" applyFont="1" applyFill="1" applyBorder="1" applyAlignment="1" applyProtection="1">
      <alignment horizontal="left" vertical="center" wrapText="1"/>
    </xf>
    <xf numFmtId="4" fontId="12" fillId="0" borderId="8" xfId="9" applyNumberFormat="1" applyFont="1" applyFill="1" applyBorder="1" applyAlignment="1" applyProtection="1">
      <alignment horizontal="right" vertical="center" wrapText="1"/>
    </xf>
    <xf numFmtId="0" fontId="12" fillId="0" borderId="95" xfId="9" applyNumberFormat="1" applyFont="1" applyFill="1" applyBorder="1" applyAlignment="1" applyProtection="1">
      <alignment vertical="center" wrapText="1"/>
    </xf>
    <xf numFmtId="0" fontId="12" fillId="0" borderId="29" xfId="9" applyNumberFormat="1" applyFont="1" applyFill="1" applyBorder="1" applyAlignment="1" applyProtection="1">
      <alignment vertical="center" wrapText="1"/>
    </xf>
    <xf numFmtId="0" fontId="12" fillId="0" borderId="27" xfId="9" applyNumberFormat="1" applyFont="1" applyFill="1" applyBorder="1" applyAlignment="1" applyProtection="1">
      <alignment vertical="center" wrapText="1"/>
    </xf>
    <xf numFmtId="0" fontId="12" fillId="0" borderId="32" xfId="9" applyNumberFormat="1" applyFont="1" applyFill="1" applyBorder="1" applyAlignment="1" applyProtection="1">
      <alignment vertical="center" wrapText="1"/>
    </xf>
    <xf numFmtId="0" fontId="12" fillId="0" borderId="0" xfId="9" applyFont="1" applyFill="1"/>
    <xf numFmtId="4" fontId="12" fillId="0" borderId="0" xfId="9" applyNumberFormat="1" applyFont="1" applyFill="1"/>
    <xf numFmtId="4" fontId="6" fillId="5" borderId="4" xfId="9" applyNumberFormat="1" applyFont="1" applyFill="1" applyBorder="1" applyAlignment="1" applyProtection="1">
      <alignment horizontal="right" vertical="center" wrapText="1"/>
    </xf>
    <xf numFmtId="4" fontId="6" fillId="0" borderId="12" xfId="9" applyNumberFormat="1" applyFont="1" applyFill="1" applyBorder="1" applyAlignment="1" applyProtection="1">
      <alignment horizontal="right" vertical="center" wrapText="1"/>
    </xf>
    <xf numFmtId="4" fontId="12" fillId="0" borderId="73" xfId="9" applyNumberFormat="1" applyFont="1" applyFill="1" applyBorder="1" applyAlignment="1" applyProtection="1">
      <alignment horizontal="right" vertical="center" wrapText="1"/>
    </xf>
    <xf numFmtId="0" fontId="4" fillId="0" borderId="5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7" fillId="2" borderId="45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 textRotation="90"/>
    </xf>
    <xf numFmtId="0" fontId="4" fillId="0" borderId="44" xfId="0" applyFont="1" applyBorder="1" applyAlignment="1">
      <alignment horizontal="center" vertical="center" textRotation="90"/>
    </xf>
    <xf numFmtId="0" fontId="4" fillId="0" borderId="45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11" fillId="0" borderId="0" xfId="9" applyFont="1" applyAlignment="1"/>
    <xf numFmtId="0" fontId="6" fillId="0" borderId="0" xfId="9" applyFont="1" applyAlignment="1"/>
    <xf numFmtId="0" fontId="20" fillId="0" borderId="0" xfId="9" applyAlignment="1"/>
    <xf numFmtId="0" fontId="6" fillId="5" borderId="1" xfId="9" applyFont="1" applyFill="1" applyBorder="1" applyAlignment="1">
      <alignment horizontal="center" vertical="center"/>
    </xf>
    <xf numFmtId="0" fontId="6" fillId="5" borderId="3" xfId="9" applyFont="1" applyFill="1" applyBorder="1" applyAlignment="1">
      <alignment horizontal="center" vertical="center"/>
    </xf>
    <xf numFmtId="0" fontId="6" fillId="5" borderId="4" xfId="9" applyFont="1" applyFill="1" applyBorder="1" applyAlignment="1">
      <alignment horizontal="center" vertical="center"/>
    </xf>
    <xf numFmtId="49" fontId="34" fillId="7" borderId="72" xfId="9" applyNumberFormat="1" applyFont="1" applyFill="1" applyBorder="1" applyAlignment="1" applyProtection="1">
      <alignment horizontal="right" vertical="center" wrapText="1"/>
    </xf>
    <xf numFmtId="49" fontId="34" fillId="7" borderId="55" xfId="9" applyNumberFormat="1" applyFont="1" applyFill="1" applyBorder="1" applyAlignment="1" applyProtection="1">
      <alignment horizontal="right" vertical="center" wrapText="1"/>
    </xf>
    <xf numFmtId="49" fontId="34" fillId="7" borderId="21" xfId="9" applyNumberFormat="1" applyFont="1" applyFill="1" applyBorder="1" applyAlignment="1" applyProtection="1">
      <alignment horizontal="right" vertical="center" wrapText="1"/>
    </xf>
    <xf numFmtId="0" fontId="34" fillId="7" borderId="22" xfId="9" applyNumberFormat="1" applyFont="1" applyFill="1" applyBorder="1" applyAlignment="1" applyProtection="1">
      <alignment horizontal="left" vertical="center" wrapText="1"/>
    </xf>
    <xf numFmtId="0" fontId="72" fillId="7" borderId="22" xfId="9" applyNumberFormat="1" applyFont="1" applyFill="1" applyBorder="1" applyAlignment="1" applyProtection="1">
      <alignment horizontal="left" vertical="center" wrapText="1"/>
    </xf>
    <xf numFmtId="4" fontId="34" fillId="7" borderId="22" xfId="9" applyNumberFormat="1" applyFont="1" applyFill="1" applyBorder="1" applyAlignment="1" applyProtection="1">
      <alignment horizontal="right" vertical="center" wrapText="1"/>
    </xf>
    <xf numFmtId="0" fontId="34" fillId="7" borderId="73" xfId="9" applyNumberFormat="1" applyFont="1" applyFill="1" applyBorder="1" applyAlignment="1" applyProtection="1">
      <alignment horizontal="right" vertical="center" wrapText="1"/>
    </xf>
    <xf numFmtId="0" fontId="34" fillId="7" borderId="71" xfId="9" applyNumberFormat="1" applyFont="1" applyFill="1" applyBorder="1" applyAlignment="1" applyProtection="1">
      <alignment horizontal="right" vertical="center" wrapText="1"/>
    </xf>
    <xf numFmtId="0" fontId="34" fillId="7" borderId="20" xfId="9" applyNumberFormat="1" applyFont="1" applyFill="1" applyBorder="1" applyAlignment="1" applyProtection="1">
      <alignment horizontal="right" vertical="center" wrapText="1"/>
    </xf>
    <xf numFmtId="0" fontId="34" fillId="7" borderId="11" xfId="9" applyNumberFormat="1" applyFont="1" applyFill="1" applyBorder="1" applyAlignment="1" applyProtection="1">
      <alignment horizontal="left" vertical="center" wrapText="1"/>
    </xf>
    <xf numFmtId="0" fontId="72" fillId="7" borderId="11" xfId="9" applyNumberFormat="1" applyFont="1" applyFill="1" applyBorder="1" applyAlignment="1" applyProtection="1">
      <alignment horizontal="left" vertical="center" wrapText="1"/>
    </xf>
    <xf numFmtId="4" fontId="34" fillId="7" borderId="11" xfId="9" applyNumberFormat="1" applyFont="1" applyFill="1" applyBorder="1" applyAlignment="1" applyProtection="1">
      <alignment horizontal="right" vertical="center" wrapText="1"/>
    </xf>
    <xf numFmtId="0" fontId="34" fillId="7" borderId="11" xfId="9" applyNumberFormat="1" applyFont="1" applyFill="1" applyBorder="1" applyAlignment="1" applyProtection="1">
      <alignment horizontal="right" vertical="center" wrapText="1"/>
    </xf>
    <xf numFmtId="4" fontId="34" fillId="7" borderId="73" xfId="9" applyNumberFormat="1" applyFont="1" applyFill="1" applyBorder="1" applyAlignment="1" applyProtection="1">
      <alignment horizontal="right" vertical="center" wrapText="1"/>
    </xf>
    <xf numFmtId="4" fontId="34" fillId="7" borderId="20" xfId="9" applyNumberFormat="1" applyFont="1" applyFill="1" applyBorder="1" applyAlignment="1" applyProtection="1">
      <alignment horizontal="right" vertical="center" wrapText="1"/>
    </xf>
    <xf numFmtId="4" fontId="12" fillId="7" borderId="11" xfId="9" applyNumberFormat="1" applyFont="1" applyFill="1" applyBorder="1" applyAlignment="1" applyProtection="1">
      <alignment horizontal="right" vertical="center" wrapText="1"/>
    </xf>
    <xf numFmtId="0" fontId="34" fillId="7" borderId="28" xfId="9" applyNumberFormat="1" applyFont="1" applyFill="1" applyBorder="1" applyAlignment="1" applyProtection="1">
      <alignment horizontal="right" vertical="center" wrapText="1"/>
    </xf>
    <xf numFmtId="0" fontId="34" fillId="7" borderId="28" xfId="9" applyNumberFormat="1" applyFont="1" applyFill="1" applyBorder="1" applyAlignment="1" applyProtection="1">
      <alignment horizontal="left" vertical="center" wrapText="1"/>
    </xf>
    <xf numFmtId="0" fontId="72" fillId="7" borderId="28" xfId="9" applyNumberFormat="1" applyFont="1" applyFill="1" applyBorder="1" applyAlignment="1" applyProtection="1">
      <alignment horizontal="left" vertical="center" wrapText="1"/>
    </xf>
    <xf numFmtId="4" fontId="34" fillId="7" borderId="28" xfId="9" applyNumberFormat="1" applyFont="1" applyFill="1" applyBorder="1" applyAlignment="1" applyProtection="1">
      <alignment horizontal="right" vertical="center" wrapText="1"/>
    </xf>
    <xf numFmtId="0" fontId="73" fillId="5" borderId="17" xfId="9" applyFont="1" applyFill="1" applyBorder="1" applyAlignment="1">
      <alignment vertical="center"/>
    </xf>
    <xf numFmtId="0" fontId="4" fillId="5" borderId="57" xfId="9" applyFont="1" applyFill="1" applyBorder="1" applyAlignment="1">
      <alignment vertical="center"/>
    </xf>
    <xf numFmtId="0" fontId="4" fillId="5" borderId="52" xfId="9" applyFont="1" applyFill="1" applyBorder="1" applyAlignment="1">
      <alignment vertical="center"/>
    </xf>
    <xf numFmtId="0" fontId="73" fillId="0" borderId="0" xfId="9" applyFont="1" applyAlignment="1">
      <alignment vertical="center"/>
    </xf>
    <xf numFmtId="0" fontId="73" fillId="5" borderId="70" xfId="9" applyFont="1" applyFill="1" applyBorder="1" applyAlignment="1">
      <alignment horizontal="center" vertical="center"/>
    </xf>
    <xf numFmtId="0" fontId="34" fillId="7" borderId="72" xfId="9" applyNumberFormat="1" applyFont="1" applyFill="1" applyBorder="1" applyAlignment="1" applyProtection="1">
      <alignment horizontal="right" vertical="center" wrapText="1"/>
    </xf>
    <xf numFmtId="0" fontId="34" fillId="7" borderId="55" xfId="9" applyNumberFormat="1" applyFont="1" applyFill="1" applyBorder="1" applyAlignment="1" applyProtection="1">
      <alignment horizontal="right" vertical="center" wrapText="1"/>
    </xf>
    <xf numFmtId="0" fontId="34" fillId="7" borderId="21" xfId="9" applyNumberFormat="1" applyFont="1" applyFill="1" applyBorder="1" applyAlignment="1" applyProtection="1">
      <alignment horizontal="right" vertical="center" wrapText="1"/>
    </xf>
    <xf numFmtId="0" fontId="12" fillId="7" borderId="73" xfId="9" applyNumberFormat="1" applyFont="1" applyFill="1" applyBorder="1" applyAlignment="1" applyProtection="1">
      <alignment vertical="center" wrapText="1"/>
    </xf>
    <xf numFmtId="0" fontId="12" fillId="7" borderId="71" xfId="9" applyNumberFormat="1" applyFont="1" applyFill="1" applyBorder="1" applyAlignment="1" applyProtection="1">
      <alignment vertical="center" wrapText="1"/>
    </xf>
    <xf numFmtId="0" fontId="12" fillId="7" borderId="20" xfId="9" applyNumberFormat="1" applyFont="1" applyFill="1" applyBorder="1" applyAlignment="1" applyProtection="1">
      <alignment vertical="center" wrapText="1"/>
    </xf>
    <xf numFmtId="0" fontId="73" fillId="5" borderId="93" xfId="9" applyNumberFormat="1" applyFont="1" applyFill="1" applyBorder="1" applyAlignment="1" applyProtection="1">
      <alignment horizontal="left" vertical="center" wrapText="1"/>
    </xf>
    <xf numFmtId="0" fontId="73" fillId="5" borderId="57" xfId="9" applyFont="1" applyFill="1" applyBorder="1" applyAlignment="1">
      <alignment vertical="center"/>
    </xf>
    <xf numFmtId="0" fontId="73" fillId="5" borderId="18" xfId="9" applyFont="1" applyFill="1" applyBorder="1" applyAlignment="1">
      <alignment vertical="center"/>
    </xf>
    <xf numFmtId="4" fontId="73" fillId="5" borderId="3" xfId="9" applyNumberFormat="1" applyFont="1" applyFill="1" applyBorder="1" applyAlignment="1" applyProtection="1">
      <alignment horizontal="right" vertical="center" wrapText="1"/>
    </xf>
    <xf numFmtId="0" fontId="24" fillId="0" borderId="71" xfId="14" applyFont="1" applyBorder="1" applyAlignment="1">
      <alignment horizontal="left" vertical="center" wrapText="1"/>
    </xf>
    <xf numFmtId="0" fontId="12" fillId="0" borderId="54" xfId="14" applyFont="1" applyBorder="1" applyAlignment="1">
      <alignment horizontal="left" wrapText="1"/>
    </xf>
    <xf numFmtId="0" fontId="75" fillId="0" borderId="0" xfId="14" applyFont="1" applyAlignment="1">
      <alignment horizontal="center"/>
    </xf>
    <xf numFmtId="0" fontId="19" fillId="5" borderId="45" xfId="14" applyFont="1" applyFill="1" applyBorder="1" applyAlignment="1">
      <alignment horizontal="left"/>
    </xf>
    <xf numFmtId="0" fontId="19" fillId="5" borderId="49" xfId="14" applyFont="1" applyFill="1" applyBorder="1" applyAlignment="1">
      <alignment horizontal="left"/>
    </xf>
    <xf numFmtId="0" fontId="24" fillId="0" borderId="55" xfId="14" applyFont="1" applyBorder="1" applyAlignment="1">
      <alignment horizontal="left" wrapText="1"/>
    </xf>
    <xf numFmtId="0" fontId="11" fillId="4" borderId="53" xfId="0" applyFont="1" applyFill="1" applyBorder="1" applyAlignment="1">
      <alignment horizontal="left" vertical="center"/>
    </xf>
    <xf numFmtId="0" fontId="11" fillId="4" borderId="5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1" fillId="5" borderId="1" xfId="0" applyNumberFormat="1" applyFont="1" applyFill="1" applyBorder="1" applyAlignment="1" applyProtection="1">
      <alignment horizontal="center" vertical="center" wrapText="1"/>
    </xf>
    <xf numFmtId="0" fontId="11" fillId="5" borderId="3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>
      <alignment horizontal="center"/>
    </xf>
    <xf numFmtId="0" fontId="12" fillId="0" borderId="27" xfId="2" applyFont="1" applyBorder="1" applyAlignment="1">
      <alignment horizontal="left" vertical="center" wrapText="1"/>
    </xf>
    <xf numFmtId="0" fontId="12" fillId="0" borderId="32" xfId="2" applyFont="1" applyBorder="1" applyAlignment="1">
      <alignment horizontal="left" vertical="center" wrapText="1"/>
    </xf>
    <xf numFmtId="0" fontId="12" fillId="0" borderId="29" xfId="2" applyFont="1" applyBorder="1" applyAlignment="1">
      <alignment horizontal="left" vertical="center" wrapText="1"/>
    </xf>
    <xf numFmtId="0" fontId="12" fillId="0" borderId="28" xfId="2" applyFont="1" applyBorder="1" applyAlignment="1">
      <alignment horizontal="center" vertical="center" wrapText="1"/>
    </xf>
    <xf numFmtId="0" fontId="12" fillId="0" borderId="31" xfId="2" applyFont="1" applyBorder="1" applyAlignment="1">
      <alignment horizontal="center" vertical="center" wrapText="1"/>
    </xf>
    <xf numFmtId="0" fontId="12" fillId="0" borderId="22" xfId="2" applyFont="1" applyBorder="1" applyAlignment="1">
      <alignment horizontal="center" vertical="center" wrapText="1"/>
    </xf>
    <xf numFmtId="4" fontId="12" fillId="0" borderId="28" xfId="2" applyNumberFormat="1" applyFont="1" applyBorder="1" applyAlignment="1">
      <alignment horizontal="right" vertical="center" wrapText="1"/>
    </xf>
    <xf numFmtId="4" fontId="12" fillId="0" borderId="31" xfId="2" applyNumberFormat="1" applyFont="1" applyBorder="1" applyAlignment="1">
      <alignment horizontal="right" vertical="center" wrapText="1"/>
    </xf>
    <xf numFmtId="4" fontId="12" fillId="0" borderId="22" xfId="2" applyNumberFormat="1" applyFont="1" applyBorder="1" applyAlignment="1">
      <alignment horizontal="right" vertical="center" wrapText="1"/>
    </xf>
    <xf numFmtId="0" fontId="12" fillId="0" borderId="36" xfId="2" applyFont="1" applyBorder="1" applyAlignment="1">
      <alignment horizontal="center" vertical="center" wrapText="1"/>
    </xf>
    <xf numFmtId="0" fontId="12" fillId="0" borderId="34" xfId="2" applyFont="1" applyBorder="1" applyAlignment="1">
      <alignment horizontal="center" vertical="center" wrapText="1"/>
    </xf>
    <xf numFmtId="0" fontId="12" fillId="0" borderId="23" xfId="2" applyFont="1" applyBorder="1" applyAlignment="1">
      <alignment horizontal="center" vertical="center" wrapText="1"/>
    </xf>
    <xf numFmtId="0" fontId="19" fillId="0" borderId="48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left" vertical="center" wrapText="1"/>
    </xf>
    <xf numFmtId="0" fontId="12" fillId="0" borderId="11" xfId="2" applyNumberFormat="1" applyFont="1" applyBorder="1" applyAlignment="1">
      <alignment horizontal="center" vertical="center" wrapText="1"/>
    </xf>
    <xf numFmtId="49" fontId="12" fillId="0" borderId="22" xfId="2" applyNumberFormat="1" applyFont="1" applyBorder="1" applyAlignment="1">
      <alignment horizontal="center" vertical="center" wrapText="1"/>
    </xf>
    <xf numFmtId="49" fontId="12" fillId="0" borderId="11" xfId="2" applyNumberFormat="1" applyFont="1" applyBorder="1" applyAlignment="1">
      <alignment horizontal="center" vertical="center" wrapText="1"/>
    </xf>
    <xf numFmtId="0" fontId="12" fillId="0" borderId="56" xfId="2" applyFont="1" applyBorder="1" applyAlignment="1">
      <alignment horizontal="left" vertical="center" wrapText="1"/>
    </xf>
    <xf numFmtId="0" fontId="12" fillId="0" borderId="38" xfId="2" applyFont="1" applyBorder="1" applyAlignment="1">
      <alignment horizontal="left" vertical="center" wrapText="1"/>
    </xf>
    <xf numFmtId="49" fontId="12" fillId="0" borderId="21" xfId="2" applyNumberFormat="1" applyFont="1" applyBorder="1" applyAlignment="1">
      <alignment horizontal="center" vertical="center" wrapText="1"/>
    </xf>
    <xf numFmtId="49" fontId="12" fillId="0" borderId="20" xfId="2" applyNumberFormat="1" applyFont="1" applyBorder="1" applyAlignment="1">
      <alignment horizontal="center" vertical="center" wrapText="1"/>
    </xf>
    <xf numFmtId="0" fontId="4" fillId="4" borderId="17" xfId="2" applyFont="1" applyFill="1" applyBorder="1" applyAlignment="1">
      <alignment horizontal="left" vertical="center" wrapText="1"/>
    </xf>
    <xf numFmtId="0" fontId="4" fillId="4" borderId="57" xfId="2" applyFont="1" applyFill="1" applyBorder="1" applyAlignment="1">
      <alignment horizontal="left" vertical="center" wrapText="1"/>
    </xf>
    <xf numFmtId="0" fontId="4" fillId="4" borderId="18" xfId="2" applyFont="1" applyFill="1" applyBorder="1" applyAlignment="1">
      <alignment horizontal="left" vertical="center" wrapText="1"/>
    </xf>
    <xf numFmtId="0" fontId="24" fillId="0" borderId="0" xfId="2" applyFont="1" applyAlignment="1">
      <alignment horizontal="left"/>
    </xf>
    <xf numFmtId="0" fontId="30" fillId="0" borderId="1" xfId="0" applyNumberFormat="1" applyFont="1" applyFill="1" applyBorder="1" applyAlignment="1" applyProtection="1">
      <alignment horizontal="left" vertical="center" wrapText="1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12" fillId="0" borderId="20" xfId="0" applyNumberFormat="1" applyFont="1" applyFill="1" applyBorder="1" applyAlignment="1" applyProtection="1">
      <alignment horizontal="center" vertical="center" textRotation="90" wrapText="1"/>
    </xf>
    <xf numFmtId="0" fontId="12" fillId="0" borderId="35" xfId="0" applyNumberFormat="1" applyFont="1" applyFill="1" applyBorder="1" applyAlignment="1" applyProtection="1">
      <alignment horizontal="center" vertical="center" textRotation="90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3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3" xfId="0" applyNumberFormat="1" applyFont="1" applyFill="1" applyBorder="1" applyAlignment="1" applyProtection="1">
      <alignment horizontal="left" vertical="center" wrapText="1"/>
    </xf>
    <xf numFmtId="0" fontId="30" fillId="0" borderId="18" xfId="0" applyNumberFormat="1" applyFont="1" applyFill="1" applyBorder="1" applyAlignment="1" applyProtection="1">
      <alignment horizontal="left" vertical="center" wrapText="1"/>
    </xf>
    <xf numFmtId="0" fontId="29" fillId="3" borderId="17" xfId="4" applyFont="1" applyFill="1" applyBorder="1" applyAlignment="1">
      <alignment horizontal="center" vertical="center" wrapText="1"/>
    </xf>
    <xf numFmtId="0" fontId="29" fillId="3" borderId="57" xfId="4" applyFont="1" applyFill="1" applyBorder="1" applyAlignment="1">
      <alignment horizontal="center" vertical="center" wrapText="1"/>
    </xf>
    <xf numFmtId="0" fontId="29" fillId="3" borderId="52" xfId="4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textRotation="90" wrapText="1"/>
    </xf>
    <xf numFmtId="0" fontId="12" fillId="0" borderId="9" xfId="0" applyNumberFormat="1" applyFont="1" applyFill="1" applyBorder="1" applyAlignment="1" applyProtection="1">
      <alignment horizontal="center" vertical="center" textRotation="90" wrapText="1"/>
    </xf>
    <xf numFmtId="0" fontId="12" fillId="0" borderId="13" xfId="0" applyNumberFormat="1" applyFont="1" applyFill="1" applyBorder="1" applyAlignment="1" applyProtection="1">
      <alignment horizontal="center" vertical="center" textRotation="90" wrapText="1"/>
    </xf>
    <xf numFmtId="0" fontId="12" fillId="0" borderId="41" xfId="0" applyNumberFormat="1" applyFont="1" applyFill="1" applyBorder="1" applyAlignment="1" applyProtection="1">
      <alignment horizontal="center" vertical="center" textRotation="90" wrapText="1"/>
    </xf>
    <xf numFmtId="0" fontId="12" fillId="0" borderId="33" xfId="0" applyNumberFormat="1" applyFont="1" applyFill="1" applyBorder="1" applyAlignment="1" applyProtection="1">
      <alignment horizontal="center" vertical="center" textRotation="90" wrapText="1"/>
    </xf>
    <xf numFmtId="0" fontId="12" fillId="0" borderId="49" xfId="0" applyNumberFormat="1" applyFont="1" applyFill="1" applyBorder="1" applyAlignment="1" applyProtection="1">
      <alignment horizontal="center" vertical="center" textRotation="90" wrapText="1"/>
    </xf>
    <xf numFmtId="0" fontId="12" fillId="0" borderId="21" xfId="0" applyNumberFormat="1" applyFont="1" applyFill="1" applyBorder="1" applyAlignment="1" applyProtection="1">
      <alignment horizontal="center" vertical="center" textRotation="90" wrapText="1"/>
    </xf>
    <xf numFmtId="0" fontId="12" fillId="0" borderId="58" xfId="0" applyNumberFormat="1" applyFont="1" applyFill="1" applyBorder="1" applyAlignment="1" applyProtection="1">
      <alignment horizontal="center" vertical="center" textRotation="90" wrapText="1"/>
    </xf>
    <xf numFmtId="0" fontId="12" fillId="0" borderId="59" xfId="0" applyNumberFormat="1" applyFont="1" applyFill="1" applyBorder="1" applyAlignment="1" applyProtection="1">
      <alignment horizontal="center" vertical="center" textRotation="90" wrapText="1"/>
    </xf>
    <xf numFmtId="0" fontId="12" fillId="0" borderId="60" xfId="0" applyNumberFormat="1" applyFont="1" applyFill="1" applyBorder="1" applyAlignment="1" applyProtection="1">
      <alignment horizontal="center" vertical="center" textRotation="90" wrapText="1"/>
    </xf>
    <xf numFmtId="0" fontId="12" fillId="0" borderId="19" xfId="0" applyNumberFormat="1" applyFont="1" applyFill="1" applyBorder="1" applyAlignment="1" applyProtection="1">
      <alignment horizontal="center" vertical="center" textRotation="90" wrapText="1"/>
    </xf>
    <xf numFmtId="0" fontId="6" fillId="4" borderId="29" xfId="0" applyNumberFormat="1" applyFont="1" applyFill="1" applyBorder="1" applyAlignment="1" applyProtection="1">
      <alignment horizontal="left" vertical="center" wrapText="1"/>
    </xf>
    <xf numFmtId="0" fontId="6" fillId="4" borderId="22" xfId="0" applyNumberFormat="1" applyFont="1" applyFill="1" applyBorder="1" applyAlignment="1" applyProtection="1">
      <alignment horizontal="left" vertical="center" wrapText="1"/>
    </xf>
    <xf numFmtId="0" fontId="30" fillId="0" borderId="41" xfId="0" applyNumberFormat="1" applyFont="1" applyFill="1" applyBorder="1" applyAlignment="1" applyProtection="1">
      <alignment horizontal="left" vertical="center" wrapText="1"/>
    </xf>
    <xf numFmtId="0" fontId="30" fillId="0" borderId="2" xfId="0" applyNumberFormat="1" applyFont="1" applyFill="1" applyBorder="1" applyAlignment="1" applyProtection="1">
      <alignment horizontal="left" vertical="center" wrapText="1"/>
    </xf>
    <xf numFmtId="0" fontId="12" fillId="0" borderId="58" xfId="0" applyNumberFormat="1" applyFont="1" applyFill="1" applyBorder="1" applyAlignment="1" applyProtection="1">
      <alignment horizontal="left" vertical="center" textRotation="90" wrapText="1"/>
    </xf>
    <xf numFmtId="0" fontId="12" fillId="0" borderId="59" xfId="0" applyNumberFormat="1" applyFont="1" applyFill="1" applyBorder="1" applyAlignment="1" applyProtection="1">
      <alignment horizontal="left" vertical="center" textRotation="90" wrapText="1"/>
    </xf>
    <xf numFmtId="0" fontId="12" fillId="0" borderId="60" xfId="0" applyNumberFormat="1" applyFont="1" applyFill="1" applyBorder="1" applyAlignment="1" applyProtection="1">
      <alignment horizontal="left" vertical="center" textRotation="90" wrapText="1"/>
    </xf>
    <xf numFmtId="0" fontId="12" fillId="0" borderId="41" xfId="0" applyNumberFormat="1" applyFont="1" applyFill="1" applyBorder="1" applyAlignment="1" applyProtection="1">
      <alignment horizontal="left" vertical="center" textRotation="90" wrapText="1"/>
    </xf>
    <xf numFmtId="0" fontId="12" fillId="0" borderId="33" xfId="0" applyNumberFormat="1" applyFont="1" applyFill="1" applyBorder="1" applyAlignment="1" applyProtection="1">
      <alignment horizontal="left" vertical="center" textRotation="90" wrapText="1"/>
    </xf>
    <xf numFmtId="0" fontId="12" fillId="0" borderId="20" xfId="0" applyNumberFormat="1" applyFont="1" applyFill="1" applyBorder="1" applyAlignment="1" applyProtection="1">
      <alignment horizontal="left" vertical="center" textRotation="90" wrapText="1"/>
    </xf>
    <xf numFmtId="0" fontId="12" fillId="0" borderId="35" xfId="0" applyNumberFormat="1" applyFont="1" applyFill="1" applyBorder="1" applyAlignment="1" applyProtection="1">
      <alignment horizontal="left" vertical="center" textRotation="90" wrapText="1"/>
    </xf>
    <xf numFmtId="0" fontId="12" fillId="0" borderId="21" xfId="0" applyNumberFormat="1" applyFont="1" applyFill="1" applyBorder="1" applyAlignment="1" applyProtection="1">
      <alignment horizontal="left" vertical="center" textRotation="90" wrapText="1"/>
    </xf>
    <xf numFmtId="0" fontId="12" fillId="0" borderId="39" xfId="0" applyNumberFormat="1" applyFont="1" applyFill="1" applyBorder="1" applyAlignment="1" applyProtection="1">
      <alignment horizontal="center" vertical="center" textRotation="90" wrapText="1"/>
    </xf>
    <xf numFmtId="0" fontId="12" fillId="0" borderId="32" xfId="0" applyNumberFormat="1" applyFont="1" applyFill="1" applyBorder="1" applyAlignment="1" applyProtection="1">
      <alignment horizontal="center" vertical="center" textRotation="90" wrapText="1"/>
    </xf>
    <xf numFmtId="0" fontId="12" fillId="0" borderId="53" xfId="0" applyNumberFormat="1" applyFont="1" applyFill="1" applyBorder="1" applyAlignment="1" applyProtection="1">
      <alignment horizontal="center" vertical="center" textRotation="90" wrapText="1"/>
    </xf>
    <xf numFmtId="0" fontId="26" fillId="0" borderId="0" xfId="4" applyFont="1" applyAlignment="1">
      <alignment horizontal="center" vertical="center"/>
    </xf>
    <xf numFmtId="0" fontId="27" fillId="5" borderId="43" xfId="4" applyFont="1" applyFill="1" applyBorder="1" applyAlignment="1">
      <alignment horizontal="center" vertical="center" wrapText="1"/>
    </xf>
    <xf numFmtId="0" fontId="27" fillId="5" borderId="25" xfId="4" applyFont="1" applyFill="1" applyBorder="1" applyAlignment="1">
      <alignment horizontal="center" vertical="center" wrapText="1"/>
    </xf>
    <xf numFmtId="0" fontId="27" fillId="5" borderId="41" xfId="4" applyFont="1" applyFill="1" applyBorder="1" applyAlignment="1">
      <alignment horizontal="center" vertical="center" wrapText="1"/>
    </xf>
    <xf numFmtId="0" fontId="30" fillId="0" borderId="57" xfId="0" applyNumberFormat="1" applyFont="1" applyFill="1" applyBorder="1" applyAlignment="1" applyProtection="1">
      <alignment horizontal="left" vertical="center" wrapText="1"/>
    </xf>
    <xf numFmtId="0" fontId="6" fillId="4" borderId="50" xfId="0" applyNumberFormat="1" applyFont="1" applyFill="1" applyBorder="1" applyAlignment="1" applyProtection="1">
      <alignment horizontal="left" vertical="center" wrapText="1"/>
    </xf>
    <xf numFmtId="0" fontId="12" fillId="0" borderId="10" xfId="9" applyNumberFormat="1" applyFont="1" applyFill="1" applyBorder="1" applyAlignment="1" applyProtection="1">
      <alignment horizontal="left" vertical="center" wrapText="1"/>
    </xf>
    <xf numFmtId="0" fontId="12" fillId="0" borderId="27" xfId="9" applyNumberFormat="1" applyFont="1" applyFill="1" applyBorder="1" applyAlignment="1" applyProtection="1">
      <alignment horizontal="left" vertical="center" wrapText="1"/>
    </xf>
    <xf numFmtId="0" fontId="6" fillId="7" borderId="61" xfId="9" applyNumberFormat="1" applyFont="1" applyFill="1" applyBorder="1" applyAlignment="1" applyProtection="1">
      <alignment horizontal="center" vertical="center" wrapText="1"/>
    </xf>
    <xf numFmtId="0" fontId="6" fillId="7" borderId="62" xfId="9" applyNumberFormat="1" applyFont="1" applyFill="1" applyBorder="1" applyAlignment="1" applyProtection="1">
      <alignment horizontal="center" vertical="center" wrapText="1"/>
    </xf>
    <xf numFmtId="0" fontId="6" fillId="7" borderId="63" xfId="9" applyNumberFormat="1" applyFont="1" applyFill="1" applyBorder="1" applyAlignment="1" applyProtection="1">
      <alignment horizontal="center" vertical="center" wrapText="1"/>
    </xf>
    <xf numFmtId="0" fontId="12" fillId="7" borderId="65" xfId="9" applyFont="1" applyFill="1" applyBorder="1" applyAlignment="1">
      <alignment horizontal="center" vertical="center" textRotation="90" wrapText="1"/>
    </xf>
    <xf numFmtId="0" fontId="12" fillId="7" borderId="94" xfId="9" applyFont="1" applyFill="1" applyBorder="1" applyAlignment="1">
      <alignment horizontal="center" vertical="center" textRotation="90" wrapText="1"/>
    </xf>
    <xf numFmtId="0" fontId="12" fillId="7" borderId="45" xfId="9" applyFont="1" applyFill="1" applyBorder="1" applyAlignment="1">
      <alignment horizontal="center" vertical="center" textRotation="90" wrapText="1"/>
    </xf>
    <xf numFmtId="0" fontId="12" fillId="7" borderId="26" xfId="9" applyFont="1" applyFill="1" applyBorder="1" applyAlignment="1">
      <alignment horizontal="center" vertical="center" textRotation="90" wrapText="1"/>
    </xf>
    <xf numFmtId="0" fontId="12" fillId="7" borderId="29" xfId="9" applyNumberFormat="1" applyFont="1" applyFill="1" applyBorder="1" applyAlignment="1" applyProtection="1">
      <alignment horizontal="left" vertical="center" wrapText="1"/>
    </xf>
    <xf numFmtId="0" fontId="12" fillId="7" borderId="27" xfId="9" applyNumberFormat="1" applyFont="1" applyFill="1" applyBorder="1" applyAlignment="1" applyProtection="1">
      <alignment horizontal="left" vertical="center" wrapText="1"/>
    </xf>
    <xf numFmtId="0" fontId="6" fillId="7" borderId="17" xfId="9" applyNumberFormat="1" applyFont="1" applyFill="1" applyBorder="1" applyAlignment="1" applyProtection="1">
      <alignment horizontal="left" vertical="center" wrapText="1"/>
    </xf>
    <xf numFmtId="0" fontId="6" fillId="7" borderId="57" xfId="9" applyNumberFormat="1" applyFont="1" applyFill="1" applyBorder="1" applyAlignment="1" applyProtection="1">
      <alignment horizontal="left" vertical="center" wrapText="1"/>
    </xf>
    <xf numFmtId="0" fontId="6" fillId="7" borderId="18" xfId="9" applyNumberFormat="1" applyFont="1" applyFill="1" applyBorder="1" applyAlignment="1" applyProtection="1">
      <alignment horizontal="left" vertical="center" wrapText="1"/>
    </xf>
    <xf numFmtId="0" fontId="32" fillId="0" borderId="0" xfId="9" applyFont="1" applyAlignment="1">
      <alignment horizontal="center"/>
    </xf>
    <xf numFmtId="0" fontId="12" fillId="0" borderId="48" xfId="9" applyFont="1" applyBorder="1" applyAlignment="1">
      <alignment horizontal="center"/>
    </xf>
    <xf numFmtId="0" fontId="12" fillId="0" borderId="26" xfId="9" applyFont="1" applyBorder="1" applyAlignment="1">
      <alignment horizontal="center"/>
    </xf>
    <xf numFmtId="0" fontId="12" fillId="0" borderId="65" xfId="9" applyFont="1" applyBorder="1" applyAlignment="1">
      <alignment horizontal="center" vertical="center" textRotation="90" readingOrder="2"/>
    </xf>
    <xf numFmtId="0" fontId="12" fillId="0" borderId="94" xfId="9" applyFont="1" applyBorder="1" applyAlignment="1">
      <alignment horizontal="center" vertical="center" textRotation="90" readingOrder="2"/>
    </xf>
    <xf numFmtId="0" fontId="12" fillId="0" borderId="44" xfId="9" applyFont="1" applyBorder="1" applyAlignment="1">
      <alignment horizontal="center" vertical="center" textRotation="90" readingOrder="2"/>
    </xf>
    <xf numFmtId="0" fontId="12" fillId="0" borderId="78" xfId="9" applyFont="1" applyBorder="1" applyAlignment="1">
      <alignment horizontal="center" vertical="center" textRotation="90" readingOrder="2"/>
    </xf>
    <xf numFmtId="0" fontId="12" fillId="0" borderId="29" xfId="9" applyNumberFormat="1" applyFont="1" applyFill="1" applyBorder="1" applyAlignment="1" applyProtection="1">
      <alignment horizontal="left" vertical="center" wrapText="1"/>
    </xf>
    <xf numFmtId="0" fontId="12" fillId="0" borderId="96" xfId="9" applyFont="1" applyBorder="1" applyAlignment="1">
      <alignment horizontal="center" vertical="center" textRotation="90"/>
    </xf>
    <xf numFmtId="0" fontId="12" fillId="0" borderId="34" xfId="9" applyFont="1" applyBorder="1" applyAlignment="1">
      <alignment horizontal="center" vertical="center" textRotation="90"/>
    </xf>
    <xf numFmtId="0" fontId="12" fillId="0" borderId="51" xfId="9" applyFont="1" applyBorder="1" applyAlignment="1">
      <alignment horizontal="center" vertical="center" textRotation="90"/>
    </xf>
    <xf numFmtId="0" fontId="12" fillId="0" borderId="97" xfId="9" applyNumberFormat="1" applyFont="1" applyFill="1" applyBorder="1" applyAlignment="1" applyProtection="1">
      <alignment horizontal="left" vertical="center" wrapText="1"/>
    </xf>
    <xf numFmtId="0" fontId="12" fillId="0" borderId="8" xfId="9" applyFont="1" applyBorder="1" applyAlignment="1">
      <alignment horizontal="center" vertical="center" textRotation="90"/>
    </xf>
    <xf numFmtId="0" fontId="12" fillId="0" borderId="12" xfId="9" applyFont="1" applyBorder="1" applyAlignment="1">
      <alignment horizontal="center" vertical="center" textRotation="90"/>
    </xf>
    <xf numFmtId="0" fontId="12" fillId="0" borderId="6" xfId="9" applyNumberFormat="1" applyFont="1" applyFill="1" applyBorder="1" applyAlignment="1" applyProtection="1">
      <alignment horizontal="left" vertical="center" wrapText="1"/>
    </xf>
    <xf numFmtId="0" fontId="6" fillId="0" borderId="10" xfId="9" applyNumberFormat="1" applyFont="1" applyFill="1" applyBorder="1" applyAlignment="1" applyProtection="1">
      <alignment horizontal="left" vertical="center" wrapText="1"/>
    </xf>
    <xf numFmtId="0" fontId="6" fillId="0" borderId="11" xfId="9" applyNumberFormat="1" applyFont="1" applyFill="1" applyBorder="1" applyAlignment="1" applyProtection="1">
      <alignment horizontal="left" vertical="center" wrapText="1"/>
    </xf>
    <xf numFmtId="0" fontId="6" fillId="0" borderId="84" xfId="9" applyNumberFormat="1" applyFont="1" applyFill="1" applyBorder="1" applyAlignment="1" applyProtection="1">
      <alignment horizontal="left" vertical="center" wrapText="1"/>
    </xf>
    <xf numFmtId="0" fontId="6" fillId="0" borderId="24" xfId="9" applyNumberFormat="1" applyFont="1" applyFill="1" applyBorder="1" applyAlignment="1" applyProtection="1">
      <alignment horizontal="left" vertical="center" wrapText="1"/>
    </xf>
    <xf numFmtId="0" fontId="0" fillId="0" borderId="12" xfId="0" applyBorder="1" applyAlignment="1">
      <alignment horizontal="center" vertical="center" textRotation="90"/>
    </xf>
    <xf numFmtId="0" fontId="12" fillId="0" borderId="97" xfId="9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12" fillId="0" borderId="10" xfId="9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12" fillId="0" borderId="65" xfId="9" applyFont="1" applyBorder="1" applyAlignment="1">
      <alignment horizontal="center" vertical="center" textRotation="90"/>
    </xf>
    <xf numFmtId="0" fontId="12" fillId="0" borderId="94" xfId="9" applyFont="1" applyBorder="1" applyAlignment="1">
      <alignment horizontal="center" vertical="center" textRotation="90"/>
    </xf>
    <xf numFmtId="0" fontId="12" fillId="0" borderId="44" xfId="9" applyFont="1" applyBorder="1" applyAlignment="1">
      <alignment horizontal="center" vertical="center" textRotation="90"/>
    </xf>
    <xf numFmtId="0" fontId="12" fillId="0" borderId="78" xfId="9" applyFont="1" applyBorder="1" applyAlignment="1">
      <alignment horizontal="center" vertical="center" textRotation="90"/>
    </xf>
    <xf numFmtId="0" fontId="12" fillId="0" borderId="45" xfId="9" applyFont="1" applyBorder="1" applyAlignment="1">
      <alignment horizontal="center" vertical="center" textRotation="90"/>
    </xf>
    <xf numFmtId="0" fontId="12" fillId="0" borderId="26" xfId="9" applyFont="1" applyBorder="1" applyAlignment="1">
      <alignment horizontal="center" vertical="center" textRotation="90"/>
    </xf>
    <xf numFmtId="0" fontId="12" fillId="0" borderId="98" xfId="9" applyFont="1" applyBorder="1" applyAlignment="1">
      <alignment horizontal="center" vertical="center" textRotation="90"/>
    </xf>
    <xf numFmtId="0" fontId="0" fillId="0" borderId="99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0" fillId="0" borderId="77" xfId="0" applyBorder="1" applyAlignment="1">
      <alignment horizontal="center" vertical="center" textRotation="90"/>
    </xf>
    <xf numFmtId="0" fontId="12" fillId="0" borderId="38" xfId="9" applyFont="1" applyBorder="1" applyAlignment="1">
      <alignment horizontal="center" vertical="center" textRotation="90"/>
    </xf>
    <xf numFmtId="0" fontId="0" fillId="0" borderId="84" xfId="0" applyBorder="1" applyAlignment="1">
      <alignment horizontal="center" vertical="center" textRotation="90"/>
    </xf>
    <xf numFmtId="0" fontId="0" fillId="0" borderId="80" xfId="0" applyBorder="1" applyAlignment="1">
      <alignment horizontal="center" vertical="center" textRotation="90"/>
    </xf>
    <xf numFmtId="0" fontId="6" fillId="5" borderId="17" xfId="9" applyNumberFormat="1" applyFont="1" applyFill="1" applyBorder="1" applyAlignment="1" applyProtection="1">
      <alignment horizontal="left" vertical="center" wrapText="1"/>
    </xf>
    <xf numFmtId="0" fontId="6" fillId="5" borderId="57" xfId="9" applyNumberFormat="1" applyFont="1" applyFill="1" applyBorder="1" applyAlignment="1" applyProtection="1">
      <alignment horizontal="left" vertical="center" wrapText="1"/>
    </xf>
    <xf numFmtId="0" fontId="6" fillId="5" borderId="18" xfId="9" applyNumberFormat="1" applyFont="1" applyFill="1" applyBorder="1" applyAlignment="1" applyProtection="1">
      <alignment horizontal="left" vertical="center" wrapText="1"/>
    </xf>
    <xf numFmtId="0" fontId="6" fillId="0" borderId="14" xfId="9" applyNumberFormat="1" applyFont="1" applyFill="1" applyBorder="1" applyAlignment="1" applyProtection="1">
      <alignment horizontal="left" vertical="center" wrapText="1"/>
    </xf>
    <xf numFmtId="0" fontId="6" fillId="0" borderId="15" xfId="9" applyNumberFormat="1" applyFont="1" applyFill="1" applyBorder="1" applyAlignment="1" applyProtection="1">
      <alignment horizontal="left" vertical="center" wrapText="1"/>
    </xf>
    <xf numFmtId="0" fontId="12" fillId="0" borderId="16" xfId="9" applyFont="1" applyBorder="1" applyAlignment="1">
      <alignment horizontal="center" vertical="center" textRotation="90"/>
    </xf>
    <xf numFmtId="0" fontId="12" fillId="0" borderId="35" xfId="5" applyNumberFormat="1" applyFont="1" applyFill="1" applyBorder="1" applyAlignment="1" applyProtection="1">
      <alignment horizontal="center" vertical="center" textRotation="90" wrapText="1"/>
    </xf>
    <xf numFmtId="0" fontId="12" fillId="0" borderId="33" xfId="5" applyNumberFormat="1" applyFont="1" applyFill="1" applyBorder="1" applyAlignment="1" applyProtection="1">
      <alignment horizontal="center" vertical="center" textRotation="90" wrapText="1"/>
    </xf>
    <xf numFmtId="0" fontId="12" fillId="0" borderId="21" xfId="5" applyNumberFormat="1" applyFont="1" applyFill="1" applyBorder="1" applyAlignment="1" applyProtection="1">
      <alignment horizontal="center" vertical="center" textRotation="90" wrapText="1"/>
    </xf>
    <xf numFmtId="0" fontId="6" fillId="0" borderId="24" xfId="5" applyNumberFormat="1" applyFont="1" applyFill="1" applyBorder="1" applyAlignment="1" applyProtection="1">
      <alignment horizontal="left" vertical="top" wrapText="1"/>
    </xf>
    <xf numFmtId="0" fontId="6" fillId="0" borderId="15" xfId="5" applyNumberFormat="1" applyFont="1" applyFill="1" applyBorder="1" applyAlignment="1" applyProtection="1">
      <alignment horizontal="left" vertical="top" wrapText="1"/>
    </xf>
    <xf numFmtId="0" fontId="11" fillId="0" borderId="17" xfId="5" applyNumberFormat="1" applyFont="1" applyFill="1" applyBorder="1" applyAlignment="1" applyProtection="1">
      <alignment horizontal="left" vertical="top" wrapText="1"/>
    </xf>
    <xf numFmtId="0" fontId="11" fillId="0" borderId="57" xfId="5" applyFont="1" applyBorder="1" applyAlignment="1"/>
    <xf numFmtId="0" fontId="11" fillId="0" borderId="18" xfId="5" applyFont="1" applyBorder="1" applyAlignment="1"/>
    <xf numFmtId="0" fontId="4" fillId="0" borderId="0" xfId="5" applyFont="1" applyBorder="1" applyAlignment="1">
      <alignment horizontal="left" vertical="center" wrapText="1"/>
    </xf>
    <xf numFmtId="0" fontId="31" fillId="0" borderId="0" xfId="5" applyAlignment="1">
      <alignment vertical="center"/>
    </xf>
    <xf numFmtId="0" fontId="31" fillId="0" borderId="5" xfId="5" applyBorder="1" applyAlignment="1">
      <alignment horizontal="center" vertical="center" textRotation="90"/>
    </xf>
    <xf numFmtId="0" fontId="31" fillId="0" borderId="9" xfId="5" applyBorder="1" applyAlignment="1">
      <alignment horizontal="center" vertical="center" textRotation="90"/>
    </xf>
    <xf numFmtId="0" fontId="31" fillId="0" borderId="13" xfId="5" applyBorder="1" applyAlignment="1">
      <alignment horizontal="center" vertical="center" textRotation="90"/>
    </xf>
    <xf numFmtId="0" fontId="12" fillId="0" borderId="19" xfId="5" applyNumberFormat="1" applyFont="1" applyFill="1" applyBorder="1" applyAlignment="1" applyProtection="1">
      <alignment horizontal="center" vertical="center" textRotation="90" wrapText="1"/>
    </xf>
    <xf numFmtId="0" fontId="31" fillId="0" borderId="20" xfId="5" applyBorder="1" applyAlignment="1">
      <alignment horizontal="center" vertical="center" textRotation="90" wrapText="1"/>
    </xf>
    <xf numFmtId="0" fontId="31" fillId="0" borderId="24" xfId="5" applyBorder="1" applyAlignment="1">
      <alignment horizontal="center" vertical="center" textRotation="90" wrapText="1"/>
    </xf>
    <xf numFmtId="0" fontId="12" fillId="0" borderId="35" xfId="5" applyNumberFormat="1" applyFont="1" applyFill="1" applyBorder="1" applyAlignment="1" applyProtection="1">
      <alignment horizontal="left" vertical="center" wrapText="1"/>
    </xf>
    <xf numFmtId="0" fontId="12" fillId="0" borderId="21" xfId="5" applyNumberFormat="1" applyFont="1" applyFill="1" applyBorder="1" applyAlignment="1" applyProtection="1">
      <alignment horizontal="left" vertical="center" wrapText="1"/>
    </xf>
    <xf numFmtId="0" fontId="6" fillId="0" borderId="21" xfId="5" applyNumberFormat="1" applyFont="1" applyFill="1" applyBorder="1" applyAlignment="1" applyProtection="1">
      <alignment horizontal="left" vertical="top" wrapText="1"/>
    </xf>
    <xf numFmtId="0" fontId="6" fillId="0" borderId="11" xfId="5" applyNumberFormat="1" applyFont="1" applyFill="1" applyBorder="1" applyAlignment="1" applyProtection="1">
      <alignment horizontal="left" vertical="top" wrapText="1"/>
    </xf>
    <xf numFmtId="0" fontId="6" fillId="0" borderId="20" xfId="5" applyNumberFormat="1" applyFont="1" applyFill="1" applyBorder="1" applyAlignment="1" applyProtection="1">
      <alignment horizontal="left" vertical="top" wrapText="1"/>
    </xf>
    <xf numFmtId="0" fontId="32" fillId="0" borderId="0" xfId="5" applyFont="1" applyBorder="1" applyAlignment="1">
      <alignment horizontal="center" wrapText="1"/>
    </xf>
    <xf numFmtId="0" fontId="31" fillId="0" borderId="0" xfId="5" applyAlignment="1"/>
    <xf numFmtId="0" fontId="12" fillId="0" borderId="41" xfId="5" applyNumberFormat="1" applyFont="1" applyFill="1" applyBorder="1" applyAlignment="1" applyProtection="1">
      <alignment horizontal="center" vertical="center" textRotation="90" wrapText="1"/>
    </xf>
    <xf numFmtId="0" fontId="24" fillId="0" borderId="0" xfId="5" applyFont="1" applyAlignment="1">
      <alignment horizontal="left"/>
    </xf>
    <xf numFmtId="0" fontId="11" fillId="0" borderId="17" xfId="5" applyNumberFormat="1" applyFont="1" applyFill="1" applyBorder="1" applyAlignment="1" applyProtection="1">
      <alignment vertical="center" wrapText="1"/>
    </xf>
    <xf numFmtId="0" fontId="11" fillId="0" borderId="57" xfId="5" applyNumberFormat="1" applyFont="1" applyFill="1" applyBorder="1" applyAlignment="1" applyProtection="1">
      <alignment vertical="center" wrapText="1"/>
    </xf>
    <xf numFmtId="0" fontId="4" fillId="0" borderId="1" xfId="5" applyNumberFormat="1" applyFont="1" applyFill="1" applyBorder="1" applyAlignment="1" applyProtection="1">
      <alignment vertical="center" wrapText="1"/>
    </xf>
    <xf numFmtId="0" fontId="4" fillId="0" borderId="3" xfId="5" applyNumberFormat="1" applyFont="1" applyFill="1" applyBorder="1" applyAlignment="1" applyProtection="1">
      <alignment vertical="center" wrapText="1"/>
    </xf>
    <xf numFmtId="0" fontId="27" fillId="0" borderId="0" xfId="5" applyFont="1" applyAlignment="1">
      <alignment horizontal="left"/>
    </xf>
    <xf numFmtId="0" fontId="34" fillId="0" borderId="32" xfId="5" applyNumberFormat="1" applyFont="1" applyFill="1" applyBorder="1" applyAlignment="1" applyProtection="1">
      <alignment horizontal="center" vertical="center" textRotation="90" wrapText="1"/>
    </xf>
    <xf numFmtId="0" fontId="34" fillId="0" borderId="31" xfId="5" applyNumberFormat="1" applyFont="1" applyFill="1" applyBorder="1" applyAlignment="1" applyProtection="1">
      <alignment horizontal="center" vertical="center" textRotation="90" wrapText="1"/>
    </xf>
    <xf numFmtId="0" fontId="11" fillId="0" borderId="61" xfId="5" applyNumberFormat="1" applyFont="1" applyFill="1" applyBorder="1" applyAlignment="1" applyProtection="1">
      <alignment horizontal="center" vertical="center" wrapText="1"/>
    </xf>
    <xf numFmtId="0" fontId="11" fillId="0" borderId="62" xfId="5" applyNumberFormat="1" applyFont="1" applyFill="1" applyBorder="1" applyAlignment="1" applyProtection="1">
      <alignment horizontal="center" vertical="center" wrapText="1"/>
    </xf>
    <xf numFmtId="0" fontId="11" fillId="0" borderId="63" xfId="5" applyNumberFormat="1" applyFont="1" applyFill="1" applyBorder="1" applyAlignment="1" applyProtection="1">
      <alignment horizontal="center" vertical="center" wrapText="1"/>
    </xf>
    <xf numFmtId="0" fontId="12" fillId="0" borderId="29" xfId="5" applyNumberFormat="1" applyFont="1" applyFill="1" applyBorder="1" applyAlignment="1" applyProtection="1">
      <alignment horizontal="center" vertical="center" textRotation="90" wrapText="1"/>
    </xf>
    <xf numFmtId="0" fontId="12" fillId="0" borderId="22" xfId="5" applyNumberFormat="1" applyFont="1" applyFill="1" applyBorder="1" applyAlignment="1" applyProtection="1">
      <alignment horizontal="center" vertical="center" textRotation="90" wrapText="1"/>
    </xf>
    <xf numFmtId="0" fontId="12" fillId="0" borderId="10" xfId="5" applyNumberFormat="1" applyFont="1" applyFill="1" applyBorder="1" applyAlignment="1" applyProtection="1">
      <alignment horizontal="center" vertical="center" textRotation="90" wrapText="1"/>
    </xf>
    <xf numFmtId="0" fontId="12" fillId="0" borderId="11" xfId="5" applyNumberFormat="1" applyFont="1" applyFill="1" applyBorder="1" applyAlignment="1" applyProtection="1">
      <alignment horizontal="center" vertical="center" textRotation="90" wrapText="1"/>
    </xf>
    <xf numFmtId="0" fontId="12" fillId="0" borderId="27" xfId="5" applyNumberFormat="1" applyFont="1" applyFill="1" applyBorder="1" applyAlignment="1" applyProtection="1">
      <alignment horizontal="center" vertical="center" textRotation="90" wrapText="1"/>
    </xf>
    <xf numFmtId="0" fontId="12" fillId="0" borderId="28" xfId="5" applyNumberFormat="1" applyFont="1" applyFill="1" applyBorder="1" applyAlignment="1" applyProtection="1">
      <alignment horizontal="center" vertical="center" textRotation="90" wrapText="1"/>
    </xf>
    <xf numFmtId="0" fontId="12" fillId="0" borderId="11" xfId="5" applyNumberFormat="1" applyFont="1" applyFill="1" applyBorder="1" applyAlignment="1" applyProtection="1">
      <alignment horizontal="left" vertical="center" wrapText="1"/>
    </xf>
    <xf numFmtId="0" fontId="12" fillId="0" borderId="28" xfId="5" applyNumberFormat="1" applyFont="1" applyFill="1" applyBorder="1" applyAlignment="1" applyProtection="1">
      <alignment horizontal="left" vertical="center" wrapText="1"/>
    </xf>
    <xf numFmtId="0" fontId="12" fillId="0" borderId="32" xfId="5" applyNumberFormat="1" applyFont="1" applyFill="1" applyBorder="1" applyAlignment="1" applyProtection="1">
      <alignment horizontal="center" vertical="center" textRotation="90" wrapText="1"/>
    </xf>
    <xf numFmtId="0" fontId="12" fillId="0" borderId="69" xfId="5" applyNumberFormat="1" applyFont="1" applyFill="1" applyBorder="1" applyAlignment="1" applyProtection="1">
      <alignment horizontal="center" vertical="center" textRotation="90" wrapText="1"/>
    </xf>
    <xf numFmtId="0" fontId="12" fillId="0" borderId="9" xfId="5" applyNumberFormat="1" applyFont="1" applyFill="1" applyBorder="1" applyAlignment="1" applyProtection="1">
      <alignment horizontal="center" vertical="center" textRotation="90" wrapText="1"/>
    </xf>
    <xf numFmtId="0" fontId="12" fillId="0" borderId="13" xfId="5" applyNumberFormat="1" applyFont="1" applyFill="1" applyBorder="1" applyAlignment="1" applyProtection="1">
      <alignment horizontal="center" vertical="center" textRotation="90" wrapText="1"/>
    </xf>
    <xf numFmtId="0" fontId="12" fillId="0" borderId="53" xfId="5" applyNumberFormat="1" applyFont="1" applyFill="1" applyBorder="1" applyAlignment="1" applyProtection="1">
      <alignment horizontal="center" vertical="center" textRotation="90" wrapText="1"/>
    </xf>
    <xf numFmtId="0" fontId="12" fillId="0" borderId="15" xfId="5" applyNumberFormat="1" applyFont="1" applyFill="1" applyBorder="1" applyAlignment="1" applyProtection="1">
      <alignment horizontal="left" vertical="center" wrapText="1"/>
    </xf>
    <xf numFmtId="0" fontId="12" fillId="0" borderId="68" xfId="5" applyNumberFormat="1" applyFont="1" applyFill="1" applyBorder="1" applyAlignment="1" applyProtection="1">
      <alignment horizontal="center" vertical="center" textRotation="90" wrapText="1"/>
    </xf>
    <xf numFmtId="0" fontId="12" fillId="0" borderId="31" xfId="5" applyNumberFormat="1" applyFont="1" applyFill="1" applyBorder="1" applyAlignment="1" applyProtection="1">
      <alignment horizontal="left" vertical="center" wrapText="1"/>
    </xf>
    <xf numFmtId="0" fontId="12" fillId="0" borderId="22" xfId="5" applyNumberFormat="1" applyFont="1" applyFill="1" applyBorder="1" applyAlignment="1" applyProtection="1">
      <alignment horizontal="left" vertical="center" wrapText="1"/>
    </xf>
    <xf numFmtId="0" fontId="4" fillId="0" borderId="0" xfId="5" applyFont="1" applyAlignment="1">
      <alignment horizontal="center" vertical="center" wrapText="1"/>
    </xf>
    <xf numFmtId="0" fontId="12" fillId="0" borderId="64" xfId="5" applyNumberFormat="1" applyFont="1" applyFill="1" applyBorder="1" applyAlignment="1" applyProtection="1">
      <alignment horizontal="center" vertical="center" textRotation="90" wrapText="1"/>
    </xf>
    <xf numFmtId="0" fontId="12" fillId="0" borderId="65" xfId="5" applyNumberFormat="1" applyFont="1" applyFill="1" applyBorder="1" applyAlignment="1" applyProtection="1">
      <alignment horizontal="center" vertical="center" textRotation="90" wrapText="1"/>
    </xf>
    <xf numFmtId="0" fontId="12" fillId="0" borderId="44" xfId="5" applyNumberFormat="1" applyFont="1" applyFill="1" applyBorder="1" applyAlignment="1" applyProtection="1">
      <alignment horizontal="center" vertical="center" textRotation="90" wrapText="1"/>
    </xf>
    <xf numFmtId="0" fontId="12" fillId="0" borderId="56" xfId="5" applyNumberFormat="1" applyFont="1" applyFill="1" applyBorder="1" applyAlignment="1" applyProtection="1">
      <alignment horizontal="center" vertical="center" textRotation="90" wrapText="1"/>
    </xf>
    <xf numFmtId="0" fontId="39" fillId="9" borderId="10" xfId="1" applyFont="1" applyFill="1" applyBorder="1" applyAlignment="1">
      <alignment horizontal="center" vertical="center" wrapText="1"/>
    </xf>
    <xf numFmtId="0" fontId="40" fillId="9" borderId="11" xfId="1" applyFont="1" applyFill="1" applyBorder="1" applyAlignment="1">
      <alignment horizontal="center" vertical="center" wrapText="1"/>
    </xf>
    <xf numFmtId="0" fontId="40" fillId="9" borderId="12" xfId="1" applyFont="1" applyFill="1" applyBorder="1" applyAlignment="1">
      <alignment horizontal="center" vertical="center" wrapText="1"/>
    </xf>
    <xf numFmtId="0" fontId="39" fillId="9" borderId="29" xfId="1" applyFont="1" applyFill="1" applyBorder="1" applyAlignment="1">
      <alignment horizontal="center" vertical="center" wrapText="1"/>
    </xf>
    <xf numFmtId="0" fontId="40" fillId="9" borderId="22" xfId="1" applyFont="1" applyFill="1" applyBorder="1" applyAlignment="1">
      <alignment horizontal="center" vertical="center" wrapText="1"/>
    </xf>
    <xf numFmtId="0" fontId="40" fillId="9" borderId="23" xfId="1" applyFont="1" applyFill="1" applyBorder="1" applyAlignment="1">
      <alignment horizontal="center" vertical="center" wrapText="1"/>
    </xf>
    <xf numFmtId="0" fontId="35" fillId="0" borderId="39" xfId="1" applyFont="1" applyFill="1" applyBorder="1" applyAlignment="1">
      <alignment horizontal="center" vertical="center"/>
    </xf>
    <xf numFmtId="0" fontId="13" fillId="0" borderId="2" xfId="1" applyFill="1" applyBorder="1"/>
    <xf numFmtId="0" fontId="13" fillId="0" borderId="42" xfId="1" applyFill="1" applyBorder="1"/>
    <xf numFmtId="0" fontId="36" fillId="8" borderId="70" xfId="1" applyFont="1" applyFill="1" applyBorder="1" applyAlignment="1">
      <alignment horizontal="center" vertical="center"/>
    </xf>
    <xf numFmtId="0" fontId="13" fillId="8" borderId="70" xfId="1" applyFill="1" applyBorder="1" applyAlignment="1">
      <alignment horizontal="center" vertical="center"/>
    </xf>
    <xf numFmtId="0" fontId="36" fillId="3" borderId="70" xfId="1" applyFont="1" applyFill="1" applyBorder="1" applyAlignment="1">
      <alignment horizontal="center" vertical="center"/>
    </xf>
    <xf numFmtId="0" fontId="36" fillId="4" borderId="70" xfId="1" applyFont="1" applyFill="1" applyBorder="1" applyAlignment="1">
      <alignment horizontal="center" vertical="center"/>
    </xf>
    <xf numFmtId="0" fontId="4" fillId="0" borderId="14" xfId="5" applyNumberFormat="1" applyFont="1" applyFill="1" applyBorder="1" applyAlignment="1" applyProtection="1">
      <alignment horizontal="left" vertical="top" wrapText="1"/>
    </xf>
    <xf numFmtId="0" fontId="4" fillId="0" borderId="15" xfId="5" applyNumberFormat="1" applyFont="1" applyFill="1" applyBorder="1" applyAlignment="1" applyProtection="1">
      <alignment horizontal="left" vertical="top" wrapText="1"/>
    </xf>
    <xf numFmtId="0" fontId="12" fillId="0" borderId="10" xfId="5" applyFont="1" applyBorder="1" applyAlignment="1">
      <alignment horizontal="center" vertical="center" textRotation="90" wrapText="1"/>
    </xf>
    <xf numFmtId="0" fontId="32" fillId="0" borderId="0" xfId="5" applyFont="1" applyFill="1" applyBorder="1" applyAlignment="1">
      <alignment horizontal="center" wrapText="1"/>
    </xf>
    <xf numFmtId="0" fontId="32" fillId="0" borderId="48" xfId="5" applyFont="1" applyFill="1" applyBorder="1" applyAlignment="1">
      <alignment horizontal="center" wrapText="1"/>
    </xf>
    <xf numFmtId="0" fontId="4" fillId="0" borderId="1" xfId="5" applyNumberFormat="1" applyFont="1" applyFill="1" applyBorder="1" applyAlignment="1" applyProtection="1">
      <alignment horizontal="left" vertical="center" wrapText="1"/>
    </xf>
    <xf numFmtId="0" fontId="4" fillId="0" borderId="3" xfId="5" applyNumberFormat="1" applyFont="1" applyFill="1" applyBorder="1" applyAlignment="1" applyProtection="1">
      <alignment horizontal="left" vertical="center" wrapText="1"/>
    </xf>
    <xf numFmtId="0" fontId="49" fillId="0" borderId="27" xfId="5" applyNumberFormat="1" applyFont="1" applyFill="1" applyBorder="1" applyAlignment="1" applyProtection="1">
      <alignment horizontal="center" vertical="center" textRotation="90" wrapText="1"/>
    </xf>
    <xf numFmtId="0" fontId="49" fillId="0" borderId="29" xfId="5" applyNumberFormat="1" applyFont="1" applyFill="1" applyBorder="1" applyAlignment="1" applyProtection="1">
      <alignment horizontal="center" vertical="center" textRotation="90" wrapText="1"/>
    </xf>
    <xf numFmtId="0" fontId="4" fillId="0" borderId="0" xfId="5" applyNumberFormat="1" applyFont="1" applyFill="1" applyBorder="1" applyAlignment="1" applyProtection="1">
      <alignment horizontal="center" vertical="center" wrapText="1"/>
    </xf>
    <xf numFmtId="0" fontId="6" fillId="7" borderId="17" xfId="5" applyNumberFormat="1" applyFont="1" applyFill="1" applyBorder="1" applyAlignment="1" applyProtection="1">
      <alignment horizontal="left" vertical="top"/>
    </xf>
    <xf numFmtId="0" fontId="31" fillId="0" borderId="57" xfId="5" applyFont="1" applyBorder="1" applyAlignment="1">
      <alignment horizontal="left" vertical="top"/>
    </xf>
    <xf numFmtId="0" fontId="6" fillId="5" borderId="17" xfId="5" applyNumberFormat="1" applyFont="1" applyFill="1" applyBorder="1" applyAlignment="1" applyProtection="1">
      <alignment horizontal="left" vertical="top"/>
    </xf>
    <xf numFmtId="0" fontId="31" fillId="5" borderId="57" xfId="5" applyFont="1" applyFill="1" applyBorder="1" applyAlignment="1">
      <alignment horizontal="left" vertical="top"/>
    </xf>
    <xf numFmtId="0" fontId="32" fillId="7" borderId="0" xfId="5" applyNumberFormat="1" applyFont="1" applyFill="1" applyBorder="1" applyAlignment="1" applyProtection="1">
      <alignment horizontal="center" vertical="center" wrapText="1" shrinkToFit="1"/>
    </xf>
    <xf numFmtId="0" fontId="31" fillId="0" borderId="0" xfId="5" applyFont="1" applyAlignment="1">
      <alignment horizontal="center" vertical="center" wrapText="1" shrinkToFit="1"/>
    </xf>
    <xf numFmtId="0" fontId="31" fillId="0" borderId="0" xfId="5" applyAlignment="1">
      <alignment wrapText="1"/>
    </xf>
    <xf numFmtId="0" fontId="12" fillId="7" borderId="2" xfId="5" applyNumberFormat="1" applyFont="1" applyFill="1" applyBorder="1" applyAlignment="1" applyProtection="1">
      <alignment horizontal="left" vertical="top"/>
    </xf>
    <xf numFmtId="0" fontId="31" fillId="0" borderId="22" xfId="5" applyFont="1" applyBorder="1" applyAlignment="1">
      <alignment horizontal="left" vertical="top"/>
    </xf>
    <xf numFmtId="0" fontId="12" fillId="7" borderId="27" xfId="0" applyNumberFormat="1" applyFont="1" applyFill="1" applyBorder="1" applyAlignment="1" applyProtection="1">
      <alignment horizontal="left" vertical="center" wrapText="1"/>
    </xf>
    <xf numFmtId="0" fontId="12" fillId="7" borderId="32" xfId="0" applyNumberFormat="1" applyFont="1" applyFill="1" applyBorder="1" applyAlignment="1" applyProtection="1">
      <alignment horizontal="left" vertical="center" wrapText="1"/>
    </xf>
    <xf numFmtId="0" fontId="12" fillId="7" borderId="29" xfId="0" applyNumberFormat="1" applyFont="1" applyFill="1" applyBorder="1" applyAlignment="1" applyProtection="1">
      <alignment horizontal="left" vertical="center" wrapText="1"/>
    </xf>
    <xf numFmtId="0" fontId="20" fillId="7" borderId="32" xfId="0" applyFont="1" applyFill="1" applyBorder="1" applyAlignment="1">
      <alignment horizontal="left" vertical="center" wrapText="1"/>
    </xf>
    <xf numFmtId="0" fontId="6" fillId="7" borderId="14" xfId="0" applyNumberFormat="1" applyFont="1" applyFill="1" applyBorder="1" applyAlignment="1" applyProtection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6" fillId="5" borderId="17" xfId="0" applyNumberFormat="1" applyFont="1" applyFill="1" applyBorder="1" applyAlignment="1" applyProtection="1">
      <alignment horizontal="left" vertical="top" wrapText="1"/>
    </xf>
    <xf numFmtId="0" fontId="20" fillId="5" borderId="57" xfId="0" applyFont="1" applyFill="1" applyBorder="1" applyAlignment="1">
      <alignment horizontal="left" vertical="top" wrapText="1"/>
    </xf>
    <xf numFmtId="0" fontId="6" fillId="7" borderId="10" xfId="0" applyNumberFormat="1" applyFont="1" applyFill="1" applyBorder="1" applyAlignment="1" applyProtection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20" fillId="7" borderId="29" xfId="0" applyFont="1" applyFill="1" applyBorder="1" applyAlignment="1">
      <alignment horizontal="left" vertical="center" wrapText="1"/>
    </xf>
    <xf numFmtId="0" fontId="9" fillId="7" borderId="0" xfId="0" applyFont="1" applyFill="1" applyAlignment="1">
      <alignment horizontal="center" vertical="center"/>
    </xf>
    <xf numFmtId="0" fontId="12" fillId="7" borderId="39" xfId="0" applyNumberFormat="1" applyFont="1" applyFill="1" applyBorder="1" applyAlignment="1" applyProtection="1">
      <alignment horizontal="left" vertical="center" wrapText="1"/>
    </xf>
    <xf numFmtId="0" fontId="9" fillId="7" borderId="0" xfId="11" applyFont="1" applyFill="1" applyBorder="1" applyAlignment="1">
      <alignment horizontal="center" vertical="center" shrinkToFit="1"/>
    </xf>
    <xf numFmtId="0" fontId="6" fillId="5" borderId="17" xfId="11" applyNumberFormat="1" applyFont="1" applyFill="1" applyBorder="1" applyAlignment="1" applyProtection="1">
      <alignment horizontal="left" vertical="top"/>
    </xf>
    <xf numFmtId="0" fontId="6" fillId="5" borderId="18" xfId="11" applyNumberFormat="1" applyFont="1" applyFill="1" applyBorder="1" applyAlignment="1" applyProtection="1">
      <alignment horizontal="left" vertical="top"/>
    </xf>
    <xf numFmtId="4" fontId="12" fillId="7" borderId="0" xfId="11" applyNumberFormat="1" applyFont="1" applyFill="1" applyAlignment="1">
      <alignment horizontal="left" vertical="justify" wrapText="1" indent="2"/>
    </xf>
    <xf numFmtId="0" fontId="20" fillId="7" borderId="0" xfId="11" applyFill="1" applyAlignment="1">
      <alignment horizontal="left" vertical="justify" wrapText="1" indent="2"/>
    </xf>
    <xf numFmtId="0" fontId="6" fillId="0" borderId="27" xfId="11" applyNumberFormat="1" applyFont="1" applyFill="1" applyBorder="1" applyAlignment="1" applyProtection="1">
      <alignment horizontal="left" vertical="top" wrapText="1"/>
    </xf>
    <xf numFmtId="0" fontId="6" fillId="0" borderId="28" xfId="11" applyNumberFormat="1" applyFont="1" applyFill="1" applyBorder="1" applyAlignment="1" applyProtection="1">
      <alignment horizontal="left" vertical="top" wrapText="1"/>
    </xf>
    <xf numFmtId="0" fontId="4" fillId="5" borderId="1" xfId="11" applyNumberFormat="1" applyFont="1" applyFill="1" applyBorder="1" applyAlignment="1" applyProtection="1">
      <alignment horizontal="left" vertical="top" wrapText="1"/>
    </xf>
    <xf numFmtId="0" fontId="4" fillId="5" borderId="3" xfId="11" applyNumberFormat="1" applyFont="1" applyFill="1" applyBorder="1" applyAlignment="1" applyProtection="1">
      <alignment horizontal="left" vertical="top" wrapText="1"/>
    </xf>
    <xf numFmtId="0" fontId="4" fillId="0" borderId="0" xfId="11" applyFont="1" applyBorder="1" applyAlignment="1">
      <alignment horizontal="left" wrapText="1"/>
    </xf>
    <xf numFmtId="0" fontId="20" fillId="0" borderId="0" xfId="11" applyAlignment="1"/>
    <xf numFmtId="0" fontId="6" fillId="0" borderId="10" xfId="11" applyNumberFormat="1" applyFont="1" applyFill="1" applyBorder="1" applyAlignment="1" applyProtection="1">
      <alignment horizontal="left" vertical="top" wrapText="1"/>
    </xf>
    <xf numFmtId="0" fontId="6" fillId="0" borderId="11" xfId="11" applyNumberFormat="1" applyFont="1" applyFill="1" applyBorder="1" applyAlignment="1" applyProtection="1">
      <alignment horizontal="left" vertical="top" wrapText="1"/>
    </xf>
    <xf numFmtId="0" fontId="12" fillId="0" borderId="27" xfId="11" applyNumberFormat="1" applyFont="1" applyFill="1" applyBorder="1" applyAlignment="1" applyProtection="1">
      <alignment horizontal="center" vertical="center" textRotation="90" wrapText="1"/>
    </xf>
    <xf numFmtId="0" fontId="12" fillId="0" borderId="29" xfId="11" applyNumberFormat="1" applyFont="1" applyFill="1" applyBorder="1" applyAlignment="1" applyProtection="1">
      <alignment horizontal="center" vertical="center" textRotation="90" wrapText="1"/>
    </xf>
    <xf numFmtId="0" fontId="12" fillId="0" borderId="28" xfId="11" applyNumberFormat="1" applyFont="1" applyFill="1" applyBorder="1" applyAlignment="1" applyProtection="1">
      <alignment horizontal="left" vertical="center" wrapText="1"/>
    </xf>
    <xf numFmtId="0" fontId="12" fillId="0" borderId="22" xfId="11" applyNumberFormat="1" applyFont="1" applyFill="1" applyBorder="1" applyAlignment="1" applyProtection="1">
      <alignment horizontal="left" vertical="center" wrapText="1"/>
    </xf>
    <xf numFmtId="0" fontId="6" fillId="0" borderId="38" xfId="11" applyNumberFormat="1" applyFont="1" applyFill="1" applyBorder="1" applyAlignment="1" applyProtection="1">
      <alignment horizontal="left" vertical="top" wrapText="1"/>
    </xf>
    <xf numFmtId="0" fontId="6" fillId="0" borderId="71" xfId="11" applyNumberFormat="1" applyFont="1" applyFill="1" applyBorder="1" applyAlignment="1" applyProtection="1">
      <alignment horizontal="left" vertical="top" wrapText="1"/>
    </xf>
    <xf numFmtId="0" fontId="6" fillId="0" borderId="20" xfId="11" applyNumberFormat="1" applyFont="1" applyFill="1" applyBorder="1" applyAlignment="1" applyProtection="1">
      <alignment horizontal="left" vertical="top" wrapText="1"/>
    </xf>
    <xf numFmtId="0" fontId="12" fillId="0" borderId="32" xfId="11" applyNumberFormat="1" applyFont="1" applyFill="1" applyBorder="1" applyAlignment="1" applyProtection="1">
      <alignment horizontal="center" vertical="center" textRotation="90" wrapText="1"/>
    </xf>
    <xf numFmtId="0" fontId="12" fillId="0" borderId="31" xfId="11" applyNumberFormat="1" applyFont="1" applyFill="1" applyBorder="1" applyAlignment="1" applyProtection="1">
      <alignment horizontal="left" vertical="center" wrapText="1"/>
    </xf>
    <xf numFmtId="0" fontId="12" fillId="0" borderId="11" xfId="11" applyNumberFormat="1" applyFont="1" applyFill="1" applyBorder="1" applyAlignment="1" applyProtection="1">
      <alignment horizontal="left" vertical="center" wrapText="1"/>
    </xf>
    <xf numFmtId="0" fontId="6" fillId="0" borderId="38" xfId="11" applyNumberFormat="1" applyFont="1" applyFill="1" applyBorder="1" applyAlignment="1" applyProtection="1">
      <alignment horizontal="left" vertical="center" wrapText="1"/>
    </xf>
    <xf numFmtId="0" fontId="6" fillId="0" borderId="71" xfId="11" applyFont="1" applyBorder="1" applyAlignment="1">
      <alignment horizontal="left" wrapText="1"/>
    </xf>
    <xf numFmtId="0" fontId="6" fillId="0" borderId="20" xfId="11" applyFont="1" applyBorder="1" applyAlignment="1">
      <alignment horizontal="left" wrapText="1"/>
    </xf>
    <xf numFmtId="0" fontId="32" fillId="0" borderId="0" xfId="11" applyNumberFormat="1" applyFont="1" applyFill="1" applyBorder="1" applyAlignment="1" applyProtection="1">
      <alignment horizontal="center" vertical="top" wrapText="1"/>
    </xf>
    <xf numFmtId="0" fontId="12" fillId="0" borderId="39" xfId="11" applyNumberFormat="1" applyFont="1" applyFill="1" applyBorder="1" applyAlignment="1" applyProtection="1">
      <alignment horizontal="center" vertical="center" textRotation="90" wrapText="1"/>
    </xf>
    <xf numFmtId="0" fontId="12" fillId="0" borderId="10" xfId="11" applyNumberFormat="1" applyFont="1" applyFill="1" applyBorder="1" applyAlignment="1" applyProtection="1">
      <alignment horizontal="left" vertical="center" wrapText="1"/>
    </xf>
    <xf numFmtId="0" fontId="4" fillId="4" borderId="10" xfId="11" applyNumberFormat="1" applyFont="1" applyFill="1" applyBorder="1" applyAlignment="1" applyProtection="1">
      <alignment horizontal="left" vertical="center" wrapText="1"/>
    </xf>
    <xf numFmtId="0" fontId="4" fillId="4" borderId="11" xfId="11" applyNumberFormat="1" applyFont="1" applyFill="1" applyBorder="1" applyAlignment="1" applyProtection="1">
      <alignment horizontal="left" vertical="center" wrapText="1"/>
    </xf>
    <xf numFmtId="0" fontId="4" fillId="0" borderId="38" xfId="11" applyNumberFormat="1" applyFont="1" applyFill="1" applyBorder="1" applyAlignment="1" applyProtection="1">
      <alignment horizontal="left" vertical="center" wrapText="1"/>
    </xf>
    <xf numFmtId="0" fontId="20" fillId="0" borderId="71" xfId="11" applyFont="1" applyBorder="1" applyAlignment="1">
      <alignment vertical="center"/>
    </xf>
    <xf numFmtId="0" fontId="20" fillId="0" borderId="77" xfId="11" applyFont="1" applyBorder="1" applyAlignment="1">
      <alignment vertical="center"/>
    </xf>
    <xf numFmtId="0" fontId="52" fillId="4" borderId="84" xfId="11" applyNumberFormat="1" applyFont="1" applyFill="1" applyBorder="1" applyAlignment="1" applyProtection="1">
      <alignment horizontal="left" vertical="center" wrapText="1"/>
    </xf>
    <xf numFmtId="0" fontId="52" fillId="4" borderId="46" xfId="11" applyNumberFormat="1" applyFont="1" applyFill="1" applyBorder="1" applyAlignment="1" applyProtection="1">
      <alignment horizontal="left" vertical="center" wrapText="1"/>
    </xf>
    <xf numFmtId="0" fontId="52" fillId="4" borderId="24" xfId="11" applyNumberFormat="1" applyFont="1" applyFill="1" applyBorder="1" applyAlignment="1" applyProtection="1">
      <alignment horizontal="left" vertical="center" wrapText="1"/>
    </xf>
    <xf numFmtId="0" fontId="4" fillId="3" borderId="10" xfId="11" applyFont="1" applyFill="1" applyBorder="1" applyAlignment="1">
      <alignment horizontal="center" vertical="center"/>
    </xf>
    <xf numFmtId="0" fontId="20" fillId="3" borderId="11" xfId="11" applyFont="1" applyFill="1" applyBorder="1" applyAlignment="1">
      <alignment vertical="center"/>
    </xf>
    <xf numFmtId="0" fontId="20" fillId="3" borderId="12" xfId="11" applyFont="1" applyFill="1" applyBorder="1" applyAlignment="1">
      <alignment vertical="center"/>
    </xf>
    <xf numFmtId="0" fontId="20" fillId="0" borderId="10" xfId="11" applyFont="1" applyBorder="1" applyAlignment="1">
      <alignment horizontal="left" vertical="center" wrapText="1"/>
    </xf>
    <xf numFmtId="0" fontId="20" fillId="0" borderId="11" xfId="11" applyFont="1" applyBorder="1" applyAlignment="1">
      <alignment horizontal="left" vertical="center" wrapText="1"/>
    </xf>
    <xf numFmtId="0" fontId="20" fillId="0" borderId="10" xfId="11" applyBorder="1" applyAlignment="1">
      <alignment horizontal="left" vertical="center" wrapText="1"/>
    </xf>
    <xf numFmtId="0" fontId="20" fillId="0" borderId="11" xfId="11" applyBorder="1" applyAlignment="1">
      <alignment horizontal="left" vertical="center" wrapText="1"/>
    </xf>
    <xf numFmtId="0" fontId="4" fillId="4" borderId="11" xfId="11" applyFont="1" applyFill="1" applyBorder="1" applyAlignment="1">
      <alignment horizontal="left" vertical="center" wrapText="1"/>
    </xf>
    <xf numFmtId="0" fontId="20" fillId="4" borderId="11" xfId="11" applyFont="1" applyFill="1" applyBorder="1" applyAlignment="1">
      <alignment horizontal="left" vertical="center" wrapText="1"/>
    </xf>
    <xf numFmtId="0" fontId="4" fillId="4" borderId="10" xfId="11" applyNumberFormat="1" applyFont="1" applyFill="1" applyBorder="1" applyAlignment="1" applyProtection="1">
      <alignment horizontal="left" vertical="center"/>
    </xf>
    <xf numFmtId="0" fontId="20" fillId="4" borderId="11" xfId="11" applyFont="1" applyFill="1" applyBorder="1" applyAlignment="1">
      <alignment horizontal="left" vertical="center"/>
    </xf>
    <xf numFmtId="0" fontId="4" fillId="4" borderId="10" xfId="11" applyFont="1" applyFill="1" applyBorder="1" applyAlignment="1">
      <alignment horizontal="left" vertical="center"/>
    </xf>
    <xf numFmtId="0" fontId="4" fillId="4" borderId="11" xfId="11" applyFont="1" applyFill="1" applyBorder="1" applyAlignment="1">
      <alignment horizontal="left" vertical="center"/>
    </xf>
    <xf numFmtId="0" fontId="11" fillId="4" borderId="10" xfId="11" applyNumberFormat="1" applyFont="1" applyFill="1" applyBorder="1" applyAlignment="1" applyProtection="1">
      <alignment horizontal="left" vertical="center" wrapText="1"/>
    </xf>
    <xf numFmtId="0" fontId="50" fillId="4" borderId="11" xfId="11" applyFont="1" applyFill="1" applyBorder="1" applyAlignment="1">
      <alignment horizontal="left" vertical="center" wrapText="1"/>
    </xf>
    <xf numFmtId="0" fontId="9" fillId="0" borderId="0" xfId="11" applyFont="1" applyAlignment="1">
      <alignment horizontal="center" vertical="center"/>
    </xf>
    <xf numFmtId="0" fontId="32" fillId="5" borderId="81" xfId="11" applyFont="1" applyFill="1" applyBorder="1" applyAlignment="1">
      <alignment horizontal="center" vertical="center"/>
    </xf>
    <xf numFmtId="0" fontId="20" fillId="5" borderId="82" xfId="11" applyFill="1" applyBorder="1" applyAlignment="1">
      <alignment horizontal="center" vertical="center"/>
    </xf>
    <xf numFmtId="0" fontId="20" fillId="5" borderId="83" xfId="11" applyFill="1" applyBorder="1" applyAlignment="1">
      <alignment horizontal="center" vertical="center"/>
    </xf>
    <xf numFmtId="0" fontId="4" fillId="5" borderId="10" xfId="11" applyFont="1" applyFill="1" applyBorder="1" applyAlignment="1">
      <alignment horizontal="center" vertical="center"/>
    </xf>
    <xf numFmtId="0" fontId="4" fillId="5" borderId="11" xfId="11" applyFont="1" applyFill="1" applyBorder="1" applyAlignment="1">
      <alignment horizontal="center" vertical="center"/>
    </xf>
    <xf numFmtId="0" fontId="20" fillId="3" borderId="11" xfId="11" applyFont="1" applyFill="1" applyBorder="1" applyAlignment="1">
      <alignment horizontal="center" vertical="center"/>
    </xf>
    <xf numFmtId="0" fontId="20" fillId="3" borderId="12" xfId="11" applyFont="1" applyFill="1" applyBorder="1" applyAlignment="1">
      <alignment horizontal="center" vertical="center"/>
    </xf>
    <xf numFmtId="0" fontId="54" fillId="0" borderId="0" xfId="10" applyFont="1" applyBorder="1" applyAlignment="1">
      <alignment horizontal="center" vertical="center"/>
    </xf>
    <xf numFmtId="0" fontId="20" fillId="0" borderId="0" xfId="10" applyBorder="1" applyAlignment="1">
      <alignment horizontal="center" vertical="center"/>
    </xf>
    <xf numFmtId="0" fontId="20" fillId="0" borderId="0" xfId="10" applyAlignment="1">
      <alignment horizontal="center" vertical="center"/>
    </xf>
    <xf numFmtId="4" fontId="54" fillId="0" borderId="17" xfId="9" applyNumberFormat="1" applyFont="1" applyBorder="1" applyAlignment="1">
      <alignment vertical="center"/>
    </xf>
    <xf numFmtId="0" fontId="54" fillId="0" borderId="52" xfId="9" applyFont="1" applyBorder="1" applyAlignment="1">
      <alignment vertical="center"/>
    </xf>
    <xf numFmtId="0" fontId="54" fillId="0" borderId="0" xfId="9" applyFont="1" applyAlignment="1">
      <alignment horizontal="center" vertical="center"/>
    </xf>
    <xf numFmtId="0" fontId="52" fillId="0" borderId="0" xfId="9" applyFont="1" applyAlignment="1">
      <alignment horizontal="center" vertical="center"/>
    </xf>
    <xf numFmtId="0" fontId="20" fillId="0" borderId="36" xfId="10" applyFont="1" applyBorder="1" applyAlignment="1">
      <alignment horizontal="center" vertical="center" wrapText="1"/>
    </xf>
    <xf numFmtId="0" fontId="20" fillId="0" borderId="34" xfId="9" applyBorder="1" applyAlignment="1">
      <alignment horizontal="center" vertical="center"/>
    </xf>
    <xf numFmtId="0" fontId="20" fillId="0" borderId="51" xfId="9" applyBorder="1" applyAlignment="1">
      <alignment horizontal="center" vertical="center"/>
    </xf>
    <xf numFmtId="0" fontId="54" fillId="0" borderId="0" xfId="10" applyFont="1" applyAlignment="1">
      <alignment horizontal="center" vertical="center"/>
    </xf>
    <xf numFmtId="0" fontId="54" fillId="0" borderId="55" xfId="9" applyFont="1" applyBorder="1" applyAlignment="1">
      <alignment horizontal="center" vertical="center"/>
    </xf>
    <xf numFmtId="0" fontId="0" fillId="0" borderId="55" xfId="0" applyBorder="1" applyAlignment="1"/>
    <xf numFmtId="0" fontId="56" fillId="0" borderId="11" xfId="0" applyNumberFormat="1" applyFont="1" applyFill="1" applyBorder="1" applyAlignment="1" applyProtection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1" xfId="0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6" fillId="0" borderId="28" xfId="0" applyNumberFormat="1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0" fillId="0" borderId="75" xfId="0" applyNumberFormat="1" applyFont="1" applyFill="1" applyBorder="1" applyAlignment="1" applyProtection="1">
      <alignment horizontal="center" vertical="center" textRotation="90" wrapText="1"/>
    </xf>
    <xf numFmtId="0" fontId="60" fillId="0" borderId="54" xfId="0" applyNumberFormat="1" applyFont="1" applyFill="1" applyBorder="1" applyAlignment="1" applyProtection="1">
      <alignment horizontal="center" vertical="center" textRotation="90" wrapText="1"/>
    </xf>
    <xf numFmtId="0" fontId="60" fillId="0" borderId="35" xfId="0" applyNumberFormat="1" applyFont="1" applyFill="1" applyBorder="1" applyAlignment="1" applyProtection="1">
      <alignment horizontal="center" vertical="center" textRotation="90" wrapText="1"/>
    </xf>
    <xf numFmtId="0" fontId="60" fillId="0" borderId="74" xfId="0" applyNumberFormat="1" applyFont="1" applyFill="1" applyBorder="1" applyAlignment="1" applyProtection="1">
      <alignment horizontal="center" vertical="center" textRotation="90" wrapText="1"/>
    </xf>
    <xf numFmtId="0" fontId="60" fillId="0" borderId="0" xfId="0" applyNumberFormat="1" applyFont="1" applyFill="1" applyBorder="1" applyAlignment="1" applyProtection="1">
      <alignment horizontal="center" vertical="center" textRotation="90" wrapText="1"/>
    </xf>
    <xf numFmtId="0" fontId="60" fillId="0" borderId="33" xfId="0" applyNumberFormat="1" applyFont="1" applyFill="1" applyBorder="1" applyAlignment="1" applyProtection="1">
      <alignment horizontal="center" vertical="center" textRotation="90" wrapText="1"/>
    </xf>
    <xf numFmtId="0" fontId="0" fillId="0" borderId="74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72" xfId="0" applyBorder="1" applyAlignment="1">
      <alignment horizontal="center" vertical="center" textRotation="90" wrapText="1"/>
    </xf>
    <xf numFmtId="0" fontId="0" fillId="0" borderId="55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61" fillId="0" borderId="11" xfId="0" applyNumberFormat="1" applyFont="1" applyFill="1" applyBorder="1" applyAlignment="1" applyProtection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62" fillId="0" borderId="28" xfId="0" applyNumberFormat="1" applyFont="1" applyFill="1" applyBorder="1" applyAlignment="1" applyProtection="1">
      <alignment horizontal="left" vertical="center" wrapText="1"/>
    </xf>
    <xf numFmtId="0" fontId="62" fillId="0" borderId="31" xfId="0" applyNumberFormat="1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2" fillId="0" borderId="11" xfId="0" applyNumberFormat="1" applyFont="1" applyFill="1" applyBorder="1" applyAlignment="1" applyProtection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1" fillId="0" borderId="28" xfId="0" applyNumberFormat="1" applyFont="1" applyFill="1" applyBorder="1" applyAlignment="1" applyProtection="1">
      <alignment horizontal="left" vertical="center" wrapText="1"/>
    </xf>
    <xf numFmtId="0" fontId="55" fillId="0" borderId="31" xfId="0" applyFont="1" applyBorder="1" applyAlignment="1">
      <alignment horizontal="left" vertical="center" wrapText="1"/>
    </xf>
    <xf numFmtId="0" fontId="63" fillId="0" borderId="11" xfId="0" applyNumberFormat="1" applyFont="1" applyFill="1" applyBorder="1" applyAlignment="1" applyProtection="1">
      <alignment horizontal="left" vertical="center" wrapText="1"/>
    </xf>
    <xf numFmtId="0" fontId="63" fillId="0" borderId="73" xfId="0" applyNumberFormat="1" applyFont="1" applyFill="1" applyBorder="1" applyAlignment="1" applyProtection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" fontId="5" fillId="0" borderId="28" xfId="0" applyNumberFormat="1" applyFont="1" applyFill="1" applyBorder="1" applyAlignment="1" applyProtection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0" fillId="0" borderId="11" xfId="0" applyNumberFormat="1" applyFont="1" applyFill="1" applyBorder="1" applyAlignment="1" applyProtection="1">
      <alignment horizontal="left" vertical="center" wrapText="1"/>
    </xf>
    <xf numFmtId="0" fontId="60" fillId="0" borderId="11" xfId="0" applyNumberFormat="1" applyFont="1" applyFill="1" applyBorder="1" applyAlignment="1" applyProtection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63" fillId="0" borderId="11" xfId="0" applyNumberFormat="1" applyFont="1" applyFill="1" applyBorder="1" applyAlignment="1" applyProtection="1">
      <alignment vertical="center" wrapText="1"/>
    </xf>
    <xf numFmtId="0" fontId="4" fillId="0" borderId="11" xfId="0" applyFont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2" fillId="0" borderId="11" xfId="0" applyNumberFormat="1" applyFont="1" applyFill="1" applyBorder="1" applyAlignment="1" applyProtection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0" fillId="0" borderId="28" xfId="0" applyNumberFormat="1" applyFont="1" applyFill="1" applyBorder="1" applyAlignment="1" applyProtection="1">
      <alignment horizontal="center" vertical="center" textRotation="90" wrapText="1"/>
    </xf>
    <xf numFmtId="0" fontId="60" fillId="0" borderId="22" xfId="0" applyNumberFormat="1" applyFont="1" applyFill="1" applyBorder="1" applyAlignment="1" applyProtection="1">
      <alignment horizontal="center" vertical="center" textRotation="90" wrapText="1"/>
    </xf>
    <xf numFmtId="0" fontId="60" fillId="0" borderId="73" xfId="0" applyNumberFormat="1" applyFont="1" applyFill="1" applyBorder="1" applyAlignment="1" applyProtection="1">
      <alignment horizontal="left" vertical="center" wrapText="1"/>
    </xf>
    <xf numFmtId="0" fontId="0" fillId="0" borderId="7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60" fillId="0" borderId="11" xfId="0" applyFont="1" applyBorder="1" applyAlignment="1">
      <alignment horizontal="center" vertical="center" textRotation="90" wrapText="1"/>
    </xf>
    <xf numFmtId="0" fontId="61" fillId="0" borderId="11" xfId="0" applyFont="1" applyBorder="1" applyAlignment="1">
      <alignment vertical="center" wrapText="1"/>
    </xf>
    <xf numFmtId="0" fontId="0" fillId="0" borderId="11" xfId="0" applyBorder="1" applyAlignment="1"/>
    <xf numFmtId="0" fontId="5" fillId="0" borderId="11" xfId="0" applyFont="1" applyFill="1" applyBorder="1" applyAlignment="1">
      <alignment horizontal="center" vertical="center"/>
    </xf>
    <xf numFmtId="0" fontId="66" fillId="0" borderId="11" xfId="0" applyNumberFormat="1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61" fillId="0" borderId="11" xfId="0" applyNumberFormat="1" applyFont="1" applyFill="1" applyBorder="1" applyAlignment="1" applyProtection="1">
      <alignment horizontal="center" vertical="center" wrapText="1"/>
    </xf>
    <xf numFmtId="0" fontId="63" fillId="0" borderId="11" xfId="0" applyFont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left" vertical="center" wrapText="1"/>
    </xf>
    <xf numFmtId="0" fontId="66" fillId="0" borderId="11" xfId="0" applyNumberFormat="1" applyFont="1" applyFill="1" applyBorder="1" applyAlignment="1" applyProtection="1">
      <alignment horizontal="left" vertical="center" wrapText="1"/>
    </xf>
    <xf numFmtId="0" fontId="66" fillId="0" borderId="11" xfId="0" applyNumberFormat="1" applyFont="1" applyFill="1" applyBorder="1" applyAlignment="1" applyProtection="1">
      <alignment vertical="center" wrapText="1"/>
    </xf>
    <xf numFmtId="0" fontId="68" fillId="0" borderId="11" xfId="0" applyFont="1" applyBorder="1" applyAlignment="1">
      <alignment vertical="center" wrapText="1"/>
    </xf>
    <xf numFmtId="0" fontId="69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vertical="center" wrapText="1"/>
    </xf>
    <xf numFmtId="0" fontId="60" fillId="0" borderId="6" xfId="0" applyNumberFormat="1" applyFont="1" applyFill="1" applyBorder="1" applyAlignment="1" applyProtection="1">
      <alignment horizontal="left" vertical="center" wrapText="1"/>
    </xf>
    <xf numFmtId="0" fontId="60" fillId="0" borderId="7" xfId="0" applyNumberFormat="1" applyFont="1" applyFill="1" applyBorder="1" applyAlignment="1" applyProtection="1">
      <alignment horizontal="left" vertical="center" wrapText="1"/>
    </xf>
    <xf numFmtId="0" fontId="63" fillId="0" borderId="38" xfId="9" applyFont="1" applyFill="1" applyBorder="1" applyAlignment="1">
      <alignment vertical="center" wrapText="1"/>
    </xf>
    <xf numFmtId="0" fontId="61" fillId="0" borderId="71" xfId="0" applyFont="1" applyBorder="1" applyAlignment="1"/>
    <xf numFmtId="0" fontId="20" fillId="0" borderId="71" xfId="0" applyFont="1" applyBorder="1" applyAlignment="1"/>
    <xf numFmtId="0" fontId="20" fillId="0" borderId="20" xfId="0" applyFont="1" applyBorder="1" applyAlignment="1"/>
    <xf numFmtId="0" fontId="4" fillId="0" borderId="10" xfId="0" applyFont="1" applyBorder="1" applyAlignment="1">
      <alignment vertical="center" wrapText="1"/>
    </xf>
    <xf numFmtId="0" fontId="20" fillId="0" borderId="10" xfId="0" applyFont="1" applyBorder="1" applyAlignment="1"/>
    <xf numFmtId="0" fontId="20" fillId="0" borderId="14" xfId="0" applyFont="1" applyBorder="1" applyAlignment="1"/>
    <xf numFmtId="0" fontId="61" fillId="0" borderId="11" xfId="0" applyFont="1" applyBorder="1" applyAlignment="1"/>
    <xf numFmtId="0" fontId="63" fillId="0" borderId="11" xfId="12" applyFont="1" applyBorder="1" applyAlignment="1">
      <alignment vertical="center" wrapText="1"/>
    </xf>
    <xf numFmtId="0" fontId="63" fillId="0" borderId="15" xfId="12" applyFont="1" applyBorder="1" applyAlignment="1">
      <alignment vertical="center" wrapText="1"/>
    </xf>
    <xf numFmtId="0" fontId="61" fillId="0" borderId="15" xfId="0" applyFont="1" applyBorder="1" applyAlignment="1"/>
    <xf numFmtId="0" fontId="53" fillId="0" borderId="11" xfId="12" applyFont="1" applyFill="1" applyBorder="1" applyAlignment="1">
      <alignment horizontal="center" vertical="center" textRotation="90" wrapText="1"/>
    </xf>
    <xf numFmtId="0" fontId="71" fillId="0" borderId="11" xfId="0" applyFont="1" applyBorder="1" applyAlignment="1">
      <alignment horizontal="center" vertical="center" textRotation="90" wrapText="1"/>
    </xf>
    <xf numFmtId="0" fontId="20" fillId="0" borderId="11" xfId="12" applyFont="1" applyFill="1" applyBorder="1" applyAlignment="1">
      <alignment vertical="center" wrapText="1"/>
    </xf>
    <xf numFmtId="0" fontId="20" fillId="0" borderId="11" xfId="12" applyFont="1" applyBorder="1" applyAlignment="1">
      <alignment vertical="center" wrapText="1"/>
    </xf>
    <xf numFmtId="0" fontId="54" fillId="0" borderId="0" xfId="12" applyFont="1" applyFill="1" applyBorder="1" applyAlignment="1">
      <alignment horizontal="center" vertical="center" wrapText="1"/>
    </xf>
    <xf numFmtId="0" fontId="70" fillId="0" borderId="0" xfId="12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vertical="center" textRotation="90" wrapText="1"/>
    </xf>
    <xf numFmtId="0" fontId="0" fillId="0" borderId="11" xfId="0" applyBorder="1" applyAlignment="1">
      <alignment vertical="center" textRotation="90" wrapText="1"/>
    </xf>
    <xf numFmtId="0" fontId="53" fillId="0" borderId="11" xfId="0" applyFont="1" applyBorder="1" applyAlignment="1">
      <alignment horizontal="center" vertical="center" textRotation="90" wrapText="1"/>
    </xf>
    <xf numFmtId="0" fontId="53" fillId="0" borderId="28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wrapText="1"/>
    </xf>
    <xf numFmtId="0" fontId="52" fillId="0" borderId="6" xfId="12" applyFont="1" applyFill="1" applyBorder="1" applyAlignment="1">
      <alignment vertical="center" wrapText="1"/>
    </xf>
    <xf numFmtId="0" fontId="0" fillId="0" borderId="7" xfId="0" applyBorder="1" applyAlignment="1"/>
    <xf numFmtId="4" fontId="53" fillId="0" borderId="40" xfId="12" applyNumberFormat="1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0" xfId="12" applyFont="1" applyBorder="1" applyAlignment="1">
      <alignment vertical="center" wrapText="1"/>
    </xf>
    <xf numFmtId="0" fontId="4" fillId="0" borderId="14" xfId="12" applyFont="1" applyBorder="1" applyAlignment="1">
      <alignment vertical="center" wrapText="1"/>
    </xf>
    <xf numFmtId="0" fontId="0" fillId="0" borderId="15" xfId="0" applyBorder="1" applyAlignment="1">
      <alignment wrapText="1"/>
    </xf>
  </cellXfs>
  <cellStyles count="15">
    <cellStyle name="čárky 2" xfId="8"/>
    <cellStyle name="čárky 3" xfId="13"/>
    <cellStyle name="normální" xfId="0" builtinId="0"/>
    <cellStyle name="normální 2" xfId="1"/>
    <cellStyle name="normální 2 2" xfId="9"/>
    <cellStyle name="normální 3" xfId="5"/>
    <cellStyle name="normální 3 2" xfId="11"/>
    <cellStyle name="normální_Kopie - ISPROFIN 2009 - Konečné" xfId="3"/>
    <cellStyle name="normální_Kopie - Příloha č. 20 - Fondy Plzeňského kraje 2009" xfId="10"/>
    <cellStyle name="normální_Kopie - Příloha č. 23  k Rezerv. fondu PK 2" xfId="12"/>
    <cellStyle name="normální_List1" xfId="2"/>
    <cellStyle name="normální_PODKLAD - Výdaje 2008-pracovní-III-konečné seskupené" xfId="4"/>
    <cellStyle name="normální_SitskolnovaX" xfId="6"/>
    <cellStyle name="normální_Vratky" xfId="14"/>
    <cellStyle name="procent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u="sng" baseline="0"/>
            </a:pPr>
            <a:r>
              <a:rPr lang="cs-CZ" sz="1600" u="sng" baseline="0"/>
              <a:t>Výnosy daní do rozpočtu Plzeňského kraje</a:t>
            </a:r>
          </a:p>
          <a:p>
            <a:pPr>
              <a:defRPr u="sng" baseline="0"/>
            </a:pPr>
            <a:r>
              <a:rPr lang="cs-CZ" sz="1600" u="sng" baseline="0"/>
              <a:t> za 1.pololetí roku 2010</a:t>
            </a:r>
            <a:endParaRPr lang="en-US" sz="1600" u="sng" baseline="0"/>
          </a:p>
        </c:rich>
      </c:tx>
      <c:layout>
        <c:manualLayout>
          <c:xMode val="edge"/>
          <c:yMode val="edge"/>
          <c:x val="0.12503932260138775"/>
          <c:y val="2.0725382964007191E-2"/>
        </c:manualLayout>
      </c:layout>
    </c:title>
    <c:view3D>
      <c:rotX val="10"/>
      <c:perspective val="10"/>
    </c:view3D>
    <c:sideWall>
      <c:spPr>
        <a:solidFill>
          <a:srgbClr val="1F497D">
            <a:lumMod val="20000"/>
            <a:lumOff val="80000"/>
            <a:alpha val="32000"/>
          </a:srgbClr>
        </a:solidFill>
      </c:spPr>
    </c:sideWall>
    <c:backWall>
      <c:spPr>
        <a:solidFill>
          <a:srgbClr val="1F497D">
            <a:lumMod val="20000"/>
            <a:lumOff val="80000"/>
            <a:alpha val="32000"/>
          </a:srgbClr>
        </a:solidFill>
      </c:spPr>
    </c:backWall>
    <c:plotArea>
      <c:layout>
        <c:manualLayout>
          <c:layoutTarget val="inner"/>
          <c:xMode val="edge"/>
          <c:yMode val="edge"/>
          <c:x val="0.11864595628102115"/>
          <c:y val="0.24421300797927284"/>
          <c:w val="0.71077108556936863"/>
          <c:h val="0.59020913325741253"/>
        </c:manualLayout>
      </c:layout>
      <c:bar3DChart>
        <c:barDir val="col"/>
        <c:grouping val="clustered"/>
        <c:ser>
          <c:idx val="0"/>
          <c:order val="0"/>
          <c:tx>
            <c:v>Příjem celkem</c:v>
          </c:tx>
          <c:dLbls>
            <c:dLbl>
              <c:idx val="0"/>
              <c:layout>
                <c:manualLayout>
                  <c:x val="0"/>
                  <c:y val="0.31088074446010788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>
                    <a:defRPr b="1"/>
                  </a:pPr>
                  <a:endParaRPr lang="cs-CZ"/>
                </a:p>
              </c:txPr>
              <c:showVal val="1"/>
            </c:dLbl>
            <c:dLbl>
              <c:idx val="1"/>
              <c:layout>
                <c:manualLayout>
                  <c:x val="0"/>
                  <c:y val="0.33506035791811689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>
                    <a:defRPr b="1"/>
                  </a:pPr>
                  <a:endParaRPr lang="cs-CZ"/>
                </a:p>
              </c:txPr>
              <c:showVal val="1"/>
            </c:dLbl>
            <c:dLbl>
              <c:idx val="2"/>
              <c:layout>
                <c:manualLayout>
                  <c:x val="2.588995708179016E-3"/>
                  <c:y val="0.21761652112207583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>
                    <a:defRPr b="1"/>
                  </a:pPr>
                  <a:endParaRPr lang="cs-CZ"/>
                </a:p>
              </c:txPr>
              <c:showVal val="1"/>
            </c:dLbl>
            <c:dLbl>
              <c:idx val="3"/>
              <c:layout>
                <c:manualLayout>
                  <c:x val="2.588995708179016E-3"/>
                  <c:y val="0.18998267717006637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>
                    <a:defRPr b="1"/>
                  </a:pPr>
                  <a:endParaRPr lang="cs-CZ"/>
                </a:p>
              </c:txPr>
              <c:showVal val="1"/>
            </c:dLbl>
            <c:dLbl>
              <c:idx val="4"/>
              <c:layout>
                <c:manualLayout>
                  <c:x val="0"/>
                  <c:y val="0.26597574803809226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>
                    <a:defRPr b="1"/>
                  </a:pPr>
                  <a:endParaRPr lang="cs-CZ"/>
                </a:p>
              </c:txPr>
              <c:showVal val="1"/>
            </c:dLbl>
            <c:dLbl>
              <c:idx val="5"/>
              <c:layout>
                <c:manualLayout>
                  <c:x val="2.588995708179016E-3"/>
                  <c:y val="0.23834190408608291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>
                    <a:defRPr b="1"/>
                  </a:pPr>
                  <a:endParaRPr lang="cs-CZ"/>
                </a:p>
              </c:txPr>
              <c:showVal val="1"/>
            </c:dLbl>
            <c:numFmt formatCode="#,##0" sourceLinked="0"/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Val val="1"/>
          </c:dLbls>
          <c:cat>
            <c:strRef>
              <c:f>'Příloha č. 5'!$E$5:$O$5</c:f>
              <c:strCache>
                <c:ptCount val="6"/>
                <c:pt idx="0">
                  <c:v>Leden </c:v>
                </c:pt>
                <c:pt idx="1">
                  <c:v>Únor 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</c:strCache>
            </c:strRef>
          </c:cat>
          <c:val>
            <c:numRef>
              <c:f>'Příloha č. 5'!$E$12:$O$12</c:f>
              <c:numCache>
                <c:formatCode>#,##0.00</c:formatCode>
                <c:ptCount val="6"/>
                <c:pt idx="0">
                  <c:v>362834.53029000002</c:v>
                </c:pt>
                <c:pt idx="1">
                  <c:v>335575.527</c:v>
                </c:pt>
                <c:pt idx="2">
                  <c:v>227046.43299999999</c:v>
                </c:pt>
                <c:pt idx="3">
                  <c:v>195504.28999999998</c:v>
                </c:pt>
                <c:pt idx="4">
                  <c:v>295629.20699999999</c:v>
                </c:pt>
                <c:pt idx="5">
                  <c:v>276690.33100000001</c:v>
                </c:pt>
              </c:numCache>
            </c:numRef>
          </c:val>
        </c:ser>
        <c:shape val="box"/>
        <c:axId val="189308928"/>
        <c:axId val="189310848"/>
        <c:axId val="0"/>
      </c:bar3DChart>
      <c:catAx>
        <c:axId val="189308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cs-CZ" sz="1200"/>
                  <a:t>Měsíc</a:t>
                </a:r>
              </a:p>
            </c:rich>
          </c:tx>
        </c:title>
        <c:tickLblPos val="nextTo"/>
        <c:crossAx val="189310848"/>
        <c:crosses val="autoZero"/>
        <c:auto val="1"/>
        <c:lblAlgn val="ctr"/>
        <c:lblOffset val="100"/>
      </c:catAx>
      <c:valAx>
        <c:axId val="18931084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1200" baseline="0"/>
                </a:pPr>
                <a:r>
                  <a:rPr lang="cs-CZ" sz="1200" baseline="0"/>
                  <a:t>tis. Kč</a:t>
                </a:r>
              </a:p>
            </c:rich>
          </c:tx>
          <c:layout>
            <c:manualLayout>
              <c:xMode val="edge"/>
              <c:yMode val="edge"/>
              <c:x val="6.2328577663775177E-2"/>
              <c:y val="0.16157802304325317"/>
            </c:manualLayout>
          </c:layout>
        </c:title>
        <c:numFmt formatCode="#,##0" sourceLinked="0"/>
        <c:tickLblPos val="nextTo"/>
        <c:crossAx val="189308928"/>
        <c:crosses val="autoZero"/>
        <c:crossBetween val="between"/>
        <c:majorUnit val="100000"/>
      </c:valAx>
    </c:plotArea>
    <c:legend>
      <c:legendPos val="r"/>
      <c:legendEntry>
        <c:idx val="0"/>
        <c:txPr>
          <a:bodyPr/>
          <a:lstStyle/>
          <a:p>
            <a:pPr>
              <a:defRPr sz="1400" b="0" i="0" baseline="0"/>
            </a:pPr>
            <a:endParaRPr lang="cs-CZ"/>
          </a:p>
        </c:txPr>
      </c:legendEntry>
      <c:layout>
        <c:manualLayout>
          <c:xMode val="edge"/>
          <c:yMode val="edge"/>
          <c:x val="0.80766101878718688"/>
          <c:y val="0.54943377092543311"/>
          <c:w val="0.17810407598208636"/>
          <c:h val="0.13800482472899139"/>
        </c:manualLayout>
      </c:layout>
      <c:txPr>
        <a:bodyPr/>
        <a:lstStyle/>
        <a:p>
          <a:pPr>
            <a:defRPr sz="1400" b="1"/>
          </a:pPr>
          <a:endParaRPr lang="cs-CZ"/>
        </a:p>
      </c:txPr>
    </c:legend>
    <c:plotVisOnly val="1"/>
  </c:chart>
  <c:spPr>
    <a:ln w="19050">
      <a:solidFill>
        <a:schemeClr val="tx2"/>
      </a:solidFill>
    </a:ln>
  </c:spPr>
  <c:printSettings>
    <c:headerFooter>
      <c:oddFooter>&amp;LKrajský úřad Plzeňského kraje
Odbor ekonomický</c:oddFooter>
    </c:headerFooter>
    <c:pageMargins b="0.78740157480314954" l="0.70866141732283638" r="0.70866141732283638" t="0.78740157480314954" header="0.31496062992126123" footer="0.3149606299212612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u="sng" baseline="0"/>
            </a:pPr>
            <a:r>
              <a:rPr lang="cs-CZ" sz="1600" u="sng" baseline="0"/>
              <a:t>Výnosy daní do rozpočtu Plzeňského kraje </a:t>
            </a:r>
          </a:p>
          <a:p>
            <a:pPr>
              <a:defRPr u="sng" baseline="0"/>
            </a:pPr>
            <a:r>
              <a:rPr lang="cs-CZ" sz="1600" u="sng" baseline="0"/>
              <a:t>za 2. pololetí roku 2010</a:t>
            </a:r>
            <a:endParaRPr lang="en-US" sz="1600" u="sng" baseline="0"/>
          </a:p>
        </c:rich>
      </c:tx>
    </c:title>
    <c:view3D>
      <c:rotX val="10"/>
      <c:perspective val="10"/>
    </c:view3D>
    <c:sideWall>
      <c:spPr>
        <a:solidFill>
          <a:srgbClr val="1F497D">
            <a:lumMod val="20000"/>
            <a:lumOff val="80000"/>
            <a:alpha val="32000"/>
          </a:srgbClr>
        </a:solidFill>
      </c:spPr>
    </c:sideWall>
    <c:backWall>
      <c:spPr>
        <a:solidFill>
          <a:srgbClr val="1F497D">
            <a:lumMod val="20000"/>
            <a:lumOff val="80000"/>
            <a:alpha val="32000"/>
          </a:srgbClr>
        </a:solidFill>
      </c:spPr>
    </c:backWall>
    <c:plotArea>
      <c:layout>
        <c:manualLayout>
          <c:layoutTarget val="inner"/>
          <c:xMode val="edge"/>
          <c:yMode val="edge"/>
          <c:x val="0.1186459562810212"/>
          <c:y val="0.24421300797927292"/>
          <c:w val="0.77345947954247218"/>
          <c:h val="0.45549414399136606"/>
        </c:manualLayout>
      </c:layout>
      <c:bar3DChart>
        <c:barDir val="col"/>
        <c:grouping val="clustered"/>
        <c:ser>
          <c:idx val="0"/>
          <c:order val="0"/>
          <c:tx>
            <c:v>Příjem celkem</c:v>
          </c:tx>
          <c:dLbls>
            <c:dLbl>
              <c:idx val="0"/>
              <c:layout>
                <c:manualLayout>
                  <c:x val="4.6783625730994153E-3"/>
                  <c:y val="0.27633843952009585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>
                    <a:defRPr b="1"/>
                  </a:pPr>
                  <a:endParaRPr lang="cs-CZ"/>
                </a:p>
              </c:txPr>
              <c:showVal val="1"/>
            </c:dLbl>
            <c:dLbl>
              <c:idx val="1"/>
              <c:layout>
                <c:manualLayout>
                  <c:x val="4.2884494848068013E-17"/>
                  <c:y val="0.27288420902609545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>
                    <a:defRPr b="1"/>
                  </a:pPr>
                  <a:endParaRPr lang="cs-CZ"/>
                </a:p>
              </c:txPr>
              <c:showVal val="1"/>
            </c:dLbl>
            <c:dLbl>
              <c:idx val="2"/>
              <c:layout>
                <c:manualLayout>
                  <c:x val="-2.0894230326472412E-3"/>
                  <c:y val="0.19689113815806841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>
                    <a:defRPr b="1"/>
                  </a:pPr>
                  <a:endParaRPr lang="cs-CZ"/>
                </a:p>
              </c:txPr>
              <c:showVal val="1"/>
            </c:dLbl>
            <c:dLbl>
              <c:idx val="3"/>
              <c:layout>
                <c:manualLayout>
                  <c:x val="2.5889957081790187E-3"/>
                  <c:y val="0.18998267717006645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>
                    <a:defRPr b="1"/>
                  </a:pPr>
                  <a:endParaRPr lang="cs-CZ"/>
                </a:p>
              </c:txPr>
              <c:showVal val="1"/>
            </c:dLbl>
            <c:dLbl>
              <c:idx val="4"/>
              <c:layout>
                <c:manualLayout>
                  <c:x val="0"/>
                  <c:y val="0.26597574803809226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>
                    <a:defRPr b="1"/>
                  </a:pPr>
                  <a:endParaRPr lang="cs-CZ"/>
                </a:p>
              </c:txPr>
              <c:showVal val="1"/>
            </c:dLbl>
            <c:dLbl>
              <c:idx val="5"/>
              <c:layout>
                <c:manualLayout>
                  <c:x val="2.588939540452194E-3"/>
                  <c:y val="0.15544037223005391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>
                    <a:defRPr b="1"/>
                  </a:pPr>
                  <a:endParaRPr lang="cs-CZ"/>
                </a:p>
              </c:txPr>
              <c:showVal val="1"/>
            </c:dLbl>
            <c:numFmt formatCode="#,##0" sourceLinked="0"/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Val val="1"/>
          </c:dLbls>
          <c:cat>
            <c:strRef>
              <c:f>'Příloha č. 5'!$E$20:$O$20</c:f>
              <c:strCache>
                <c:ptCount val="6"/>
                <c:pt idx="0">
                  <c:v>Červenec </c:v>
                </c:pt>
                <c:pt idx="1">
                  <c:v>Srpen </c:v>
                </c:pt>
                <c:pt idx="2">
                  <c:v>Září</c:v>
                </c:pt>
                <c:pt idx="3">
                  <c:v>Říjen </c:v>
                </c:pt>
                <c:pt idx="4">
                  <c:v>Listopad</c:v>
                </c:pt>
                <c:pt idx="5">
                  <c:v>Prosinec </c:v>
                </c:pt>
              </c:strCache>
            </c:strRef>
          </c:cat>
          <c:val>
            <c:numRef>
              <c:f>'Příloha č. 5'!$E$27:$O$27</c:f>
              <c:numCache>
                <c:formatCode>#,##0.00</c:formatCode>
                <c:ptCount val="6"/>
                <c:pt idx="0">
                  <c:v>377860.66099999996</c:v>
                </c:pt>
                <c:pt idx="1">
                  <c:v>338956.04399999999</c:v>
                </c:pt>
                <c:pt idx="2">
                  <c:v>227423.97199999998</c:v>
                </c:pt>
                <c:pt idx="3">
                  <c:v>216334.359</c:v>
                </c:pt>
                <c:pt idx="4">
                  <c:v>349199.02499999997</c:v>
                </c:pt>
                <c:pt idx="5">
                  <c:v>155945.21395999999</c:v>
                </c:pt>
              </c:numCache>
            </c:numRef>
          </c:val>
        </c:ser>
        <c:shape val="box"/>
        <c:axId val="195307008"/>
        <c:axId val="195308928"/>
        <c:axId val="0"/>
      </c:bar3DChart>
      <c:catAx>
        <c:axId val="195307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cs-CZ" sz="1200"/>
                  <a:t>Měsíc</a:t>
                </a:r>
              </a:p>
            </c:rich>
          </c:tx>
        </c:title>
        <c:tickLblPos val="nextTo"/>
        <c:crossAx val="195308928"/>
        <c:crosses val="autoZero"/>
        <c:auto val="1"/>
        <c:lblAlgn val="ctr"/>
        <c:lblOffset val="100"/>
      </c:catAx>
      <c:valAx>
        <c:axId val="19530892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1200" baseline="0"/>
                </a:pPr>
                <a:r>
                  <a:rPr lang="cs-CZ" sz="1200" baseline="0"/>
                  <a:t>tis. Kč</a:t>
                </a:r>
              </a:p>
            </c:rich>
          </c:tx>
          <c:layout>
            <c:manualLayout>
              <c:xMode val="edge"/>
              <c:yMode val="edge"/>
              <c:x val="8.8785354899229951E-2"/>
              <c:y val="0.18235734597466571"/>
            </c:manualLayout>
          </c:layout>
        </c:title>
        <c:numFmt formatCode="#,##0" sourceLinked="0"/>
        <c:tickLblPos val="nextTo"/>
        <c:crossAx val="195307008"/>
        <c:crosses val="autoZero"/>
        <c:crossBetween val="between"/>
        <c:majorUnit val="100000"/>
      </c:valAx>
    </c:plotArea>
    <c:legend>
      <c:legendPos val="r"/>
      <c:legendEntry>
        <c:idx val="0"/>
        <c:txPr>
          <a:bodyPr/>
          <a:lstStyle/>
          <a:p>
            <a:pPr>
              <a:defRPr sz="1400" b="0" i="0" baseline="0"/>
            </a:pPr>
            <a:endParaRPr lang="cs-CZ"/>
          </a:p>
        </c:txPr>
      </c:legendEntry>
      <c:layout>
        <c:manualLayout>
          <c:xMode val="edge"/>
          <c:yMode val="edge"/>
          <c:x val="0.8076610187871871"/>
          <c:y val="0.54943377092543288"/>
          <c:w val="0.17810407598208636"/>
          <c:h val="0.13800482472899139"/>
        </c:manualLayout>
      </c:layout>
      <c:txPr>
        <a:bodyPr/>
        <a:lstStyle/>
        <a:p>
          <a:pPr>
            <a:defRPr sz="1400" b="1"/>
          </a:pPr>
          <a:endParaRPr lang="cs-CZ"/>
        </a:p>
      </c:txPr>
    </c:legend>
    <c:plotVisOnly val="1"/>
  </c:chart>
  <c:spPr>
    <a:ln w="19050">
      <a:solidFill>
        <a:schemeClr val="tx2"/>
      </a:solidFill>
    </a:ln>
  </c:spPr>
  <c:printSettings>
    <c:headerFooter>
      <c:oddFooter>&amp;LKrajský úřad Plzeňského kraje
Odbor ekonomický</c:oddFooter>
    </c:headerFooter>
    <c:pageMargins b="0.78740157480314954" l="0.70866141732283672" r="0.70866141732283672" t="0.78740157480314954" header="0.3149606299212615" footer="0.3149606299212615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3</xdr:row>
      <xdr:rowOff>123824</xdr:rowOff>
    </xdr:from>
    <xdr:to>
      <xdr:col>8</xdr:col>
      <xdr:colOff>542925</xdr:colOff>
      <xdr:row>26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29</xdr:row>
      <xdr:rowOff>19051</xdr:rowOff>
    </xdr:from>
    <xdr:to>
      <xdr:col>8</xdr:col>
      <xdr:colOff>552450</xdr:colOff>
      <xdr:row>51</xdr:row>
      <xdr:rowOff>123825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d_RF/Spolecny_RF/P&#345;evody%20v&#253;nos&#367;%20dan&#237;%20do%20rozpo&#269;tu%20PK/2010%20P&#345;evody%20v&#253;nos&#367;%20dan&#237;%20do%20rozp.%20P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+2. čtvrtletí"/>
      <sheetName val="3.+4. čtvrtletí"/>
      <sheetName val="celková tabulka"/>
      <sheetName val="graf"/>
      <sheetName val="rok 2009-podkla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135807673.84</v>
          </cell>
          <cell r="C8">
            <v>266899802</v>
          </cell>
          <cell r="D8">
            <v>12018705</v>
          </cell>
          <cell r="E8">
            <v>113372665</v>
          </cell>
          <cell r="F8">
            <v>243668005</v>
          </cell>
          <cell r="G8">
            <v>50687539</v>
          </cell>
          <cell r="J8">
            <v>135190824</v>
          </cell>
          <cell r="K8">
            <v>272410340</v>
          </cell>
          <cell r="L8">
            <v>51296247</v>
          </cell>
          <cell r="M8">
            <v>133567470</v>
          </cell>
          <cell r="N8">
            <v>274034702</v>
          </cell>
          <cell r="O8">
            <v>42421590.060000002</v>
          </cell>
        </row>
        <row r="9">
          <cell r="B9">
            <v>96072787.159999996</v>
          </cell>
          <cell r="C9">
            <v>56456694</v>
          </cell>
          <cell r="D9">
            <v>47179235</v>
          </cell>
          <cell r="E9">
            <v>40148380</v>
          </cell>
          <cell r="F9">
            <v>46499804</v>
          </cell>
          <cell r="G9">
            <v>60716251</v>
          </cell>
          <cell r="J9">
            <v>63200072</v>
          </cell>
          <cell r="K9">
            <v>59599533</v>
          </cell>
          <cell r="L9">
            <v>64079783</v>
          </cell>
          <cell r="M9">
            <v>60910993</v>
          </cell>
          <cell r="N9">
            <v>61072344</v>
          </cell>
          <cell r="O9">
            <v>64062643.390000001</v>
          </cell>
        </row>
        <row r="10">
          <cell r="B10">
            <v>6046181.8700000001</v>
          </cell>
          <cell r="C10">
            <v>5916725</v>
          </cell>
          <cell r="D10">
            <v>3841963</v>
          </cell>
          <cell r="E10">
            <v>4220952</v>
          </cell>
          <cell r="F10">
            <v>5461398</v>
          </cell>
          <cell r="G10">
            <v>4915544</v>
          </cell>
          <cell r="J10">
            <v>6008268</v>
          </cell>
          <cell r="K10">
            <v>6946171</v>
          </cell>
          <cell r="L10">
            <v>6796681</v>
          </cell>
          <cell r="M10">
            <v>5424809</v>
          </cell>
          <cell r="N10">
            <v>5998390</v>
          </cell>
          <cell r="O10">
            <v>4304494.91</v>
          </cell>
        </row>
        <row r="11">
          <cell r="B11">
            <v>4450635.49</v>
          </cell>
          <cell r="C11">
            <v>812838</v>
          </cell>
          <cell r="D11">
            <v>7109904</v>
          </cell>
          <cell r="E11">
            <v>0</v>
          </cell>
          <cell r="F11">
            <v>0</v>
          </cell>
          <cell r="G11">
            <v>0</v>
          </cell>
          <cell r="J11">
            <v>5937992</v>
          </cell>
          <cell r="K11">
            <v>0</v>
          </cell>
          <cell r="L11">
            <v>3887739</v>
          </cell>
          <cell r="M11">
            <v>1922194</v>
          </cell>
          <cell r="N11">
            <v>1076564</v>
          </cell>
          <cell r="O11">
            <v>4840544.12</v>
          </cell>
        </row>
        <row r="12">
          <cell r="B12">
            <v>120457251.93000001</v>
          </cell>
          <cell r="C12">
            <v>5489468</v>
          </cell>
          <cell r="D12">
            <v>156896626</v>
          </cell>
          <cell r="E12">
            <v>37762293</v>
          </cell>
          <cell r="F12">
            <v>0</v>
          </cell>
          <cell r="G12">
            <v>151063457</v>
          </cell>
          <cell r="J12">
            <v>167523505</v>
          </cell>
          <cell r="K12">
            <v>0</v>
          </cell>
          <cell r="L12">
            <v>101363522</v>
          </cell>
          <cell r="M12">
            <v>14508893</v>
          </cell>
          <cell r="N12">
            <v>7017025</v>
          </cell>
          <cell r="O12">
            <v>40315941.479999997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412"/>
  <sheetViews>
    <sheetView showGridLines="0" topLeftCell="B396" zoomScaleNormal="100" workbookViewId="0">
      <selection activeCell="K3" sqref="K3"/>
    </sheetView>
  </sheetViews>
  <sheetFormatPr defaultRowHeight="13.2"/>
  <cols>
    <col min="1" max="1" width="3" hidden="1" customWidth="1"/>
    <col min="2" max="2" width="9" customWidth="1"/>
    <col min="3" max="3" width="7.5546875" customWidth="1"/>
    <col min="4" max="4" width="9.88671875" customWidth="1"/>
    <col min="5" max="5" width="6.88671875" customWidth="1"/>
    <col min="6" max="6" width="15.109375" customWidth="1"/>
    <col min="7" max="7" width="15.44140625" customWidth="1"/>
    <col min="8" max="8" width="13.5546875" customWidth="1"/>
    <col min="9" max="9" width="51.33203125" customWidth="1"/>
  </cols>
  <sheetData>
    <row r="1" spans="1:241" ht="17.399999999999999">
      <c r="B1" s="820" t="s">
        <v>0</v>
      </c>
      <c r="C1" s="820"/>
      <c r="D1" s="820"/>
      <c r="E1" s="820"/>
      <c r="F1" s="820"/>
      <c r="G1" s="820"/>
      <c r="H1" s="820"/>
      <c r="I1" s="82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820"/>
      <c r="HL1" s="820"/>
      <c r="HM1" s="820"/>
      <c r="HN1" s="820"/>
      <c r="HO1" s="820"/>
      <c r="HP1" s="820"/>
      <c r="HQ1" s="820"/>
      <c r="HR1" s="820"/>
      <c r="HS1" s="820"/>
      <c r="HT1" s="820"/>
      <c r="HU1" s="820"/>
      <c r="HV1" s="820"/>
      <c r="HW1" s="820"/>
      <c r="HX1" s="820"/>
      <c r="HY1" s="820"/>
      <c r="HZ1" s="820"/>
      <c r="IA1" s="820"/>
      <c r="IB1" s="820"/>
      <c r="IC1" s="820"/>
      <c r="ID1" s="820"/>
      <c r="IE1" s="820"/>
      <c r="IF1" s="820"/>
      <c r="IG1" s="820"/>
    </row>
    <row r="2" spans="1:241" ht="6.75" customHeight="1" thickBot="1">
      <c r="B2" s="2"/>
      <c r="C2" s="2"/>
      <c r="D2" s="2"/>
      <c r="E2" s="2"/>
      <c r="F2" s="2"/>
      <c r="G2" s="2"/>
      <c r="H2" s="2"/>
      <c r="I2" s="2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</row>
    <row r="3" spans="1:241" ht="21" thickBot="1"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</row>
    <row r="4" spans="1:241" ht="24.9" customHeight="1">
      <c r="A4" s="809" t="s">
        <v>9</v>
      </c>
      <c r="B4" s="7">
        <v>40184</v>
      </c>
      <c r="C4" s="8" t="s">
        <v>10</v>
      </c>
      <c r="D4" s="9" t="s">
        <v>11</v>
      </c>
      <c r="E4" s="9" t="s">
        <v>12</v>
      </c>
      <c r="F4" s="10">
        <v>0</v>
      </c>
      <c r="G4" s="10">
        <v>0</v>
      </c>
      <c r="H4" s="10">
        <v>6800000</v>
      </c>
      <c r="I4" s="11" t="s">
        <v>13</v>
      </c>
    </row>
    <row r="5" spans="1:241" ht="33" customHeight="1">
      <c r="A5" s="821"/>
      <c r="B5" s="12">
        <v>40191</v>
      </c>
      <c r="C5" s="13" t="s">
        <v>14</v>
      </c>
      <c r="D5" s="14" t="s">
        <v>15</v>
      </c>
      <c r="E5" s="14" t="s">
        <v>12</v>
      </c>
      <c r="F5" s="15">
        <v>0</v>
      </c>
      <c r="G5" s="15">
        <v>0</v>
      </c>
      <c r="H5" s="15">
        <v>390000</v>
      </c>
      <c r="I5" s="16" t="s">
        <v>16</v>
      </c>
    </row>
    <row r="6" spans="1:241" ht="24.9" customHeight="1">
      <c r="A6" s="821"/>
      <c r="B6" s="12">
        <v>40191</v>
      </c>
      <c r="C6" s="13" t="s">
        <v>17</v>
      </c>
      <c r="D6" s="14" t="s">
        <v>18</v>
      </c>
      <c r="E6" s="14" t="s">
        <v>12</v>
      </c>
      <c r="F6" s="15">
        <v>30000</v>
      </c>
      <c r="G6" s="15">
        <v>30000</v>
      </c>
      <c r="H6" s="15">
        <v>0</v>
      </c>
      <c r="I6" s="16" t="s">
        <v>19</v>
      </c>
    </row>
    <row r="7" spans="1:241" ht="24.9" customHeight="1">
      <c r="A7" s="821"/>
      <c r="B7" s="12">
        <v>40191</v>
      </c>
      <c r="C7" s="13" t="s">
        <v>20</v>
      </c>
      <c r="D7" s="14" t="s">
        <v>21</v>
      </c>
      <c r="E7" s="14" t="s">
        <v>12</v>
      </c>
      <c r="F7" s="15">
        <v>6600</v>
      </c>
      <c r="G7" s="15">
        <v>6600</v>
      </c>
      <c r="H7" s="15">
        <v>0</v>
      </c>
      <c r="I7" s="16" t="s">
        <v>22</v>
      </c>
    </row>
    <row r="8" spans="1:241" ht="24.9" customHeight="1">
      <c r="A8" s="821"/>
      <c r="B8" s="12">
        <v>40191</v>
      </c>
      <c r="C8" s="13" t="s">
        <v>23</v>
      </c>
      <c r="D8" s="14" t="s">
        <v>24</v>
      </c>
      <c r="E8" s="14" t="s">
        <v>12</v>
      </c>
      <c r="F8" s="15">
        <v>0</v>
      </c>
      <c r="G8" s="15">
        <v>0</v>
      </c>
      <c r="H8" s="15">
        <v>1500000</v>
      </c>
      <c r="I8" s="16" t="s">
        <v>25</v>
      </c>
    </row>
    <row r="9" spans="1:241" ht="24.9" customHeight="1">
      <c r="A9" s="821"/>
      <c r="B9" s="12">
        <v>40191</v>
      </c>
      <c r="C9" s="13" t="s">
        <v>26</v>
      </c>
      <c r="D9" s="14" t="s">
        <v>27</v>
      </c>
      <c r="E9" s="14" t="s">
        <v>12</v>
      </c>
      <c r="F9" s="15">
        <v>0</v>
      </c>
      <c r="G9" s="15">
        <v>0</v>
      </c>
      <c r="H9" s="15">
        <v>11586000</v>
      </c>
      <c r="I9" s="16" t="s">
        <v>28</v>
      </c>
    </row>
    <row r="10" spans="1:241" ht="24.9" customHeight="1">
      <c r="A10" s="821"/>
      <c r="B10" s="12">
        <v>40191</v>
      </c>
      <c r="C10" s="13" t="s">
        <v>29</v>
      </c>
      <c r="D10" s="14" t="s">
        <v>30</v>
      </c>
      <c r="E10" s="14" t="s">
        <v>12</v>
      </c>
      <c r="F10" s="15">
        <v>0</v>
      </c>
      <c r="G10" s="15">
        <v>0</v>
      </c>
      <c r="H10" s="15">
        <v>9000000</v>
      </c>
      <c r="I10" s="16" t="s">
        <v>31</v>
      </c>
    </row>
    <row r="11" spans="1:241" ht="24.9" customHeight="1">
      <c r="A11" s="821"/>
      <c r="B11" s="12">
        <v>40191</v>
      </c>
      <c r="C11" s="13" t="s">
        <v>32</v>
      </c>
      <c r="D11" s="14" t="s">
        <v>33</v>
      </c>
      <c r="E11" s="14" t="s">
        <v>12</v>
      </c>
      <c r="F11" s="15">
        <v>0</v>
      </c>
      <c r="G11" s="15">
        <v>0</v>
      </c>
      <c r="H11" s="15">
        <v>300000</v>
      </c>
      <c r="I11" s="16" t="s">
        <v>34</v>
      </c>
    </row>
    <row r="12" spans="1:241" ht="24.9" customHeight="1">
      <c r="A12" s="821"/>
      <c r="B12" s="12">
        <v>40191</v>
      </c>
      <c r="C12" s="13" t="s">
        <v>35</v>
      </c>
      <c r="D12" s="14" t="s">
        <v>36</v>
      </c>
      <c r="E12" s="14" t="s">
        <v>12</v>
      </c>
      <c r="F12" s="15">
        <v>0</v>
      </c>
      <c r="G12" s="15">
        <v>0</v>
      </c>
      <c r="H12" s="15">
        <v>12600000</v>
      </c>
      <c r="I12" s="16" t="s">
        <v>37</v>
      </c>
    </row>
    <row r="13" spans="1:241" ht="24.9" customHeight="1">
      <c r="A13" s="821"/>
      <c r="B13" s="12">
        <v>40191</v>
      </c>
      <c r="C13" s="13" t="s">
        <v>38</v>
      </c>
      <c r="D13" s="14" t="s">
        <v>39</v>
      </c>
      <c r="E13" s="14" t="s">
        <v>12</v>
      </c>
      <c r="F13" s="15">
        <v>0</v>
      </c>
      <c r="G13" s="15">
        <v>0</v>
      </c>
      <c r="H13" s="15">
        <v>21495000</v>
      </c>
      <c r="I13" s="16" t="s">
        <v>40</v>
      </c>
    </row>
    <row r="14" spans="1:241" ht="24.9" customHeight="1">
      <c r="A14" s="821"/>
      <c r="B14" s="12">
        <v>40198</v>
      </c>
      <c r="C14" s="13" t="s">
        <v>41</v>
      </c>
      <c r="D14" s="14" t="s">
        <v>42</v>
      </c>
      <c r="E14" s="14" t="s">
        <v>12</v>
      </c>
      <c r="F14" s="15">
        <v>0</v>
      </c>
      <c r="G14" s="15">
        <v>0</v>
      </c>
      <c r="H14" s="15">
        <v>3000000</v>
      </c>
      <c r="I14" s="16" t="s">
        <v>43</v>
      </c>
    </row>
    <row r="15" spans="1:241" ht="24.9" customHeight="1">
      <c r="A15" s="821"/>
      <c r="B15" s="12">
        <v>40198</v>
      </c>
      <c r="C15" s="13" t="s">
        <v>44</v>
      </c>
      <c r="D15" s="14" t="s">
        <v>45</v>
      </c>
      <c r="E15" s="14" t="s">
        <v>12</v>
      </c>
      <c r="F15" s="15">
        <v>0</v>
      </c>
      <c r="G15" s="15">
        <v>0</v>
      </c>
      <c r="H15" s="15">
        <v>1000000</v>
      </c>
      <c r="I15" s="16" t="s">
        <v>46</v>
      </c>
    </row>
    <row r="16" spans="1:241" ht="21.75" customHeight="1">
      <c r="A16" s="821"/>
      <c r="B16" s="12">
        <v>40198</v>
      </c>
      <c r="C16" s="13" t="s">
        <v>47</v>
      </c>
      <c r="D16" s="14" t="s">
        <v>48</v>
      </c>
      <c r="E16" s="14" t="s">
        <v>12</v>
      </c>
      <c r="F16" s="15">
        <v>0</v>
      </c>
      <c r="G16" s="15">
        <v>0</v>
      </c>
      <c r="H16" s="15">
        <v>33940000</v>
      </c>
      <c r="I16" s="16" t="s">
        <v>49</v>
      </c>
    </row>
    <row r="17" spans="1:9" ht="21" customHeight="1">
      <c r="A17" s="821"/>
      <c r="B17" s="12">
        <v>40203</v>
      </c>
      <c r="C17" s="13" t="s">
        <v>50</v>
      </c>
      <c r="D17" s="14" t="s">
        <v>51</v>
      </c>
      <c r="E17" s="14" t="s">
        <v>12</v>
      </c>
      <c r="F17" s="15">
        <v>25400000</v>
      </c>
      <c r="G17" s="15">
        <v>25400000</v>
      </c>
      <c r="H17" s="15">
        <v>0</v>
      </c>
      <c r="I17" s="16" t="s">
        <v>52</v>
      </c>
    </row>
    <row r="18" spans="1:9" ht="32.25" customHeight="1">
      <c r="A18" s="821"/>
      <c r="B18" s="12">
        <v>40203</v>
      </c>
      <c r="C18" s="13" t="s">
        <v>53</v>
      </c>
      <c r="D18" s="14" t="s">
        <v>54</v>
      </c>
      <c r="E18" s="14" t="s">
        <v>12</v>
      </c>
      <c r="F18" s="15">
        <v>0</v>
      </c>
      <c r="G18" s="15">
        <v>0</v>
      </c>
      <c r="H18" s="15">
        <v>9055134</v>
      </c>
      <c r="I18" s="16" t="s">
        <v>55</v>
      </c>
    </row>
    <row r="19" spans="1:9" ht="24.9" customHeight="1" thickBot="1">
      <c r="A19" s="822"/>
      <c r="B19" s="17">
        <v>40203</v>
      </c>
      <c r="C19" s="18" t="s">
        <v>56</v>
      </c>
      <c r="D19" s="19" t="s">
        <v>57</v>
      </c>
      <c r="E19" s="19" t="s">
        <v>12</v>
      </c>
      <c r="F19" s="20">
        <v>0</v>
      </c>
      <c r="G19" s="20">
        <v>0</v>
      </c>
      <c r="H19" s="20">
        <v>197181</v>
      </c>
      <c r="I19" s="21" t="s">
        <v>58</v>
      </c>
    </row>
    <row r="20" spans="1:9" s="28" customFormat="1" ht="3.75" customHeight="1" thickBot="1">
      <c r="A20" s="22"/>
      <c r="B20" s="23"/>
      <c r="C20" s="24"/>
      <c r="D20" s="25"/>
      <c r="E20" s="25"/>
      <c r="F20" s="26"/>
      <c r="G20" s="26"/>
      <c r="H20" s="26"/>
      <c r="I20" s="27"/>
    </row>
    <row r="21" spans="1:9" ht="21" thickBot="1">
      <c r="B21" s="29" t="s">
        <v>1</v>
      </c>
      <c r="C21" s="5" t="s">
        <v>2</v>
      </c>
      <c r="D21" s="30" t="s">
        <v>3</v>
      </c>
      <c r="E21" s="5" t="s">
        <v>4</v>
      </c>
      <c r="F21" s="5" t="s">
        <v>5</v>
      </c>
      <c r="G21" s="5" t="s">
        <v>6</v>
      </c>
      <c r="H21" s="5" t="s">
        <v>7</v>
      </c>
      <c r="I21" s="6" t="s">
        <v>8</v>
      </c>
    </row>
    <row r="22" spans="1:9" ht="24.9" customHeight="1">
      <c r="A22" s="809" t="s">
        <v>9</v>
      </c>
      <c r="B22" s="7">
        <v>40227</v>
      </c>
      <c r="C22" s="8" t="s">
        <v>59</v>
      </c>
      <c r="D22" s="31" t="s">
        <v>60</v>
      </c>
      <c r="E22" s="9" t="s">
        <v>12</v>
      </c>
      <c r="F22" s="10">
        <v>0</v>
      </c>
      <c r="G22" s="10">
        <v>0</v>
      </c>
      <c r="H22" s="10">
        <v>200000</v>
      </c>
      <c r="I22" s="11" t="s">
        <v>61</v>
      </c>
    </row>
    <row r="23" spans="1:9" ht="24.9" customHeight="1">
      <c r="A23" s="821"/>
      <c r="B23" s="12">
        <v>40227</v>
      </c>
      <c r="C23" s="13" t="s">
        <v>62</v>
      </c>
      <c r="D23" s="32" t="s">
        <v>63</v>
      </c>
      <c r="E23" s="14" t="s">
        <v>12</v>
      </c>
      <c r="F23" s="15">
        <v>0</v>
      </c>
      <c r="G23" s="15">
        <v>0</v>
      </c>
      <c r="H23" s="15">
        <v>2400000</v>
      </c>
      <c r="I23" s="16" t="s">
        <v>64</v>
      </c>
    </row>
    <row r="24" spans="1:9" ht="24.9" customHeight="1">
      <c r="A24" s="821"/>
      <c r="B24" s="12">
        <v>40227</v>
      </c>
      <c r="C24" s="13" t="s">
        <v>65</v>
      </c>
      <c r="D24" s="32" t="s">
        <v>66</v>
      </c>
      <c r="E24" s="14" t="s">
        <v>12</v>
      </c>
      <c r="F24" s="15">
        <v>0</v>
      </c>
      <c r="G24" s="15">
        <v>0</v>
      </c>
      <c r="H24" s="15">
        <v>14000000</v>
      </c>
      <c r="I24" s="16" t="s">
        <v>67</v>
      </c>
    </row>
    <row r="25" spans="1:9" ht="55.5" customHeight="1">
      <c r="A25" s="821"/>
      <c r="B25" s="12">
        <v>40227</v>
      </c>
      <c r="C25" s="13" t="s">
        <v>68</v>
      </c>
      <c r="D25" s="32" t="s">
        <v>69</v>
      </c>
      <c r="E25" s="14" t="s">
        <v>12</v>
      </c>
      <c r="F25" s="15">
        <v>0</v>
      </c>
      <c r="G25" s="15">
        <v>169412313.08000001</v>
      </c>
      <c r="H25" s="15">
        <v>0</v>
      </c>
      <c r="I25" s="16" t="s">
        <v>70</v>
      </c>
    </row>
    <row r="26" spans="1:9" ht="24.9" customHeight="1">
      <c r="A26" s="821"/>
      <c r="B26" s="12">
        <v>40227</v>
      </c>
      <c r="C26" s="13" t="s">
        <v>71</v>
      </c>
      <c r="D26" s="32" t="s">
        <v>72</v>
      </c>
      <c r="E26" s="14" t="s">
        <v>12</v>
      </c>
      <c r="F26" s="15">
        <v>0</v>
      </c>
      <c r="G26" s="15">
        <v>0</v>
      </c>
      <c r="H26" s="15">
        <v>307998000</v>
      </c>
      <c r="I26" s="16" t="s">
        <v>73</v>
      </c>
    </row>
    <row r="27" spans="1:9" ht="24.9" customHeight="1">
      <c r="A27" s="821"/>
      <c r="B27" s="12">
        <v>40227</v>
      </c>
      <c r="C27" s="13" t="s">
        <v>74</v>
      </c>
      <c r="D27" s="32" t="s">
        <v>75</v>
      </c>
      <c r="E27" s="14" t="s">
        <v>12</v>
      </c>
      <c r="F27" s="15">
        <v>0</v>
      </c>
      <c r="G27" s="15">
        <v>0</v>
      </c>
      <c r="H27" s="15">
        <v>1000000</v>
      </c>
      <c r="I27" s="16" t="s">
        <v>76</v>
      </c>
    </row>
    <row r="28" spans="1:9" ht="24.9" customHeight="1">
      <c r="A28" s="821"/>
      <c r="B28" s="12">
        <v>40227</v>
      </c>
      <c r="C28" s="13" t="s">
        <v>77</v>
      </c>
      <c r="D28" s="32" t="s">
        <v>78</v>
      </c>
      <c r="E28" s="14" t="s">
        <v>12</v>
      </c>
      <c r="F28" s="15">
        <v>0</v>
      </c>
      <c r="G28" s="15">
        <v>0</v>
      </c>
      <c r="H28" s="15">
        <v>900000</v>
      </c>
      <c r="I28" s="16" t="s">
        <v>79</v>
      </c>
    </row>
    <row r="29" spans="1:9" ht="32.25" customHeight="1">
      <c r="A29" s="821"/>
      <c r="B29" s="12">
        <v>40227</v>
      </c>
      <c r="C29" s="13" t="s">
        <v>80</v>
      </c>
      <c r="D29" s="32" t="s">
        <v>81</v>
      </c>
      <c r="E29" s="14" t="s">
        <v>12</v>
      </c>
      <c r="F29" s="15">
        <v>134925.4</v>
      </c>
      <c r="G29" s="15">
        <v>134925.4</v>
      </c>
      <c r="H29" s="15">
        <v>0</v>
      </c>
      <c r="I29" s="16" t="s">
        <v>82</v>
      </c>
    </row>
    <row r="30" spans="1:9" ht="24.9" customHeight="1">
      <c r="A30" s="821"/>
      <c r="B30" s="12">
        <v>40227</v>
      </c>
      <c r="C30" s="13" t="s">
        <v>83</v>
      </c>
      <c r="D30" s="32" t="s">
        <v>84</v>
      </c>
      <c r="E30" s="14" t="s">
        <v>12</v>
      </c>
      <c r="F30" s="15">
        <v>1121900</v>
      </c>
      <c r="G30" s="15">
        <v>1121900</v>
      </c>
      <c r="H30" s="15">
        <v>0</v>
      </c>
      <c r="I30" s="16" t="s">
        <v>85</v>
      </c>
    </row>
    <row r="31" spans="1:9" ht="24.9" customHeight="1">
      <c r="A31" s="821"/>
      <c r="B31" s="12">
        <v>40227</v>
      </c>
      <c r="C31" s="13" t="s">
        <v>86</v>
      </c>
      <c r="D31" s="32" t="s">
        <v>87</v>
      </c>
      <c r="E31" s="14" t="s">
        <v>12</v>
      </c>
      <c r="F31" s="15">
        <v>52515000</v>
      </c>
      <c r="G31" s="15">
        <v>52515000</v>
      </c>
      <c r="H31" s="15">
        <v>0</v>
      </c>
      <c r="I31" s="16" t="s">
        <v>88</v>
      </c>
    </row>
    <row r="32" spans="1:9" ht="24.9" customHeight="1">
      <c r="A32" s="821"/>
      <c r="B32" s="12">
        <v>40227</v>
      </c>
      <c r="C32" s="13" t="s">
        <v>89</v>
      </c>
      <c r="D32" s="32" t="s">
        <v>90</v>
      </c>
      <c r="E32" s="14" t="s">
        <v>12</v>
      </c>
      <c r="F32" s="15">
        <v>0</v>
      </c>
      <c r="G32" s="15">
        <v>0</v>
      </c>
      <c r="H32" s="15">
        <v>800000</v>
      </c>
      <c r="I32" s="16" t="s">
        <v>91</v>
      </c>
    </row>
    <row r="33" spans="1:9" ht="32.25" customHeight="1">
      <c r="A33" s="821"/>
      <c r="B33" s="12">
        <v>40227</v>
      </c>
      <c r="C33" s="13" t="s">
        <v>92</v>
      </c>
      <c r="D33" s="33" t="s">
        <v>93</v>
      </c>
      <c r="E33" s="34" t="s">
        <v>12</v>
      </c>
      <c r="F33" s="35">
        <v>0</v>
      </c>
      <c r="G33" s="35">
        <v>0</v>
      </c>
      <c r="H33" s="35">
        <v>2600000</v>
      </c>
      <c r="I33" s="36" t="s">
        <v>94</v>
      </c>
    </row>
    <row r="34" spans="1:9" ht="24.9" customHeight="1">
      <c r="A34" s="821"/>
      <c r="B34" s="12">
        <v>40227</v>
      </c>
      <c r="C34" s="13" t="s">
        <v>95</v>
      </c>
      <c r="D34" s="32" t="s">
        <v>96</v>
      </c>
      <c r="E34" s="14" t="s">
        <v>12</v>
      </c>
      <c r="F34" s="15">
        <v>0</v>
      </c>
      <c r="G34" s="15">
        <v>0</v>
      </c>
      <c r="H34" s="15">
        <v>1313379</v>
      </c>
      <c r="I34" s="16" t="s">
        <v>49</v>
      </c>
    </row>
    <row r="35" spans="1:9" ht="24.9" customHeight="1">
      <c r="A35" s="821"/>
      <c r="B35" s="12">
        <v>40227</v>
      </c>
      <c r="C35" s="13" t="s">
        <v>97</v>
      </c>
      <c r="D35" s="32" t="s">
        <v>98</v>
      </c>
      <c r="E35" s="14" t="s">
        <v>12</v>
      </c>
      <c r="F35" s="15">
        <v>0</v>
      </c>
      <c r="G35" s="15">
        <v>0</v>
      </c>
      <c r="H35" s="15">
        <v>1320000</v>
      </c>
      <c r="I35" s="16" t="s">
        <v>99</v>
      </c>
    </row>
    <row r="36" spans="1:9" ht="22.5" customHeight="1" thickBot="1">
      <c r="A36" s="822"/>
      <c r="B36" s="17">
        <v>40227</v>
      </c>
      <c r="C36" s="18" t="s">
        <v>100</v>
      </c>
      <c r="D36" s="37" t="s">
        <v>101</v>
      </c>
      <c r="E36" s="19" t="s">
        <v>12</v>
      </c>
      <c r="F36" s="20">
        <v>0</v>
      </c>
      <c r="G36" s="20">
        <v>0</v>
      </c>
      <c r="H36" s="20">
        <v>43500000</v>
      </c>
      <c r="I36" s="21" t="s">
        <v>102</v>
      </c>
    </row>
    <row r="37" spans="1:9" s="28" customFormat="1" ht="3" customHeight="1" thickBot="1">
      <c r="A37" s="38"/>
      <c r="B37" s="23"/>
      <c r="C37" s="24"/>
      <c r="D37" s="25"/>
      <c r="E37" s="25"/>
      <c r="F37" s="26"/>
      <c r="G37" s="26"/>
      <c r="H37" s="26"/>
      <c r="I37" s="27"/>
    </row>
    <row r="38" spans="1:9" ht="32.25" customHeight="1" thickBot="1">
      <c r="A38" s="39"/>
      <c r="B38" s="3" t="s">
        <v>1</v>
      </c>
      <c r="C38" s="5" t="s">
        <v>2</v>
      </c>
      <c r="D38" s="30" t="s">
        <v>3</v>
      </c>
      <c r="E38" s="5" t="s">
        <v>4</v>
      </c>
      <c r="F38" s="5" t="s">
        <v>5</v>
      </c>
      <c r="G38" s="5" t="s">
        <v>6</v>
      </c>
      <c r="H38" s="5" t="s">
        <v>7</v>
      </c>
      <c r="I38" s="6" t="s">
        <v>8</v>
      </c>
    </row>
    <row r="39" spans="1:9" ht="27" customHeight="1">
      <c r="A39" s="809" t="s">
        <v>9</v>
      </c>
      <c r="B39" s="40">
        <v>40227</v>
      </c>
      <c r="C39" s="41" t="s">
        <v>103</v>
      </c>
      <c r="D39" s="32" t="s">
        <v>104</v>
      </c>
      <c r="E39" s="14" t="s">
        <v>12</v>
      </c>
      <c r="F39" s="15">
        <v>0</v>
      </c>
      <c r="G39" s="15">
        <v>0</v>
      </c>
      <c r="H39" s="15">
        <v>600000</v>
      </c>
      <c r="I39" s="16" t="s">
        <v>105</v>
      </c>
    </row>
    <row r="40" spans="1:9" ht="27" customHeight="1">
      <c r="A40" s="821"/>
      <c r="B40" s="12">
        <v>40227</v>
      </c>
      <c r="C40" s="13" t="s">
        <v>106</v>
      </c>
      <c r="D40" s="32" t="s">
        <v>107</v>
      </c>
      <c r="E40" s="14" t="s">
        <v>12</v>
      </c>
      <c r="F40" s="15">
        <v>0</v>
      </c>
      <c r="G40" s="15">
        <v>0</v>
      </c>
      <c r="H40" s="15">
        <v>5247.94</v>
      </c>
      <c r="I40" s="16" t="s">
        <v>108</v>
      </c>
    </row>
    <row r="41" spans="1:9" ht="53.25" customHeight="1">
      <c r="A41" s="821"/>
      <c r="B41" s="42">
        <v>40227</v>
      </c>
      <c r="C41" s="43" t="s">
        <v>109</v>
      </c>
      <c r="D41" s="32" t="s">
        <v>110</v>
      </c>
      <c r="E41" s="14" t="s">
        <v>12</v>
      </c>
      <c r="F41" s="15">
        <v>0</v>
      </c>
      <c r="G41" s="15">
        <v>1153078.5900000001</v>
      </c>
      <c r="H41" s="15">
        <v>0</v>
      </c>
      <c r="I41" s="16" t="s">
        <v>111</v>
      </c>
    </row>
    <row r="42" spans="1:9" ht="24.9" customHeight="1">
      <c r="A42" s="821"/>
      <c r="B42" s="12">
        <v>40227</v>
      </c>
      <c r="C42" s="13" t="s">
        <v>112</v>
      </c>
      <c r="D42" s="32" t="s">
        <v>113</v>
      </c>
      <c r="E42" s="14" t="s">
        <v>12</v>
      </c>
      <c r="F42" s="15">
        <v>0</v>
      </c>
      <c r="G42" s="15">
        <v>0</v>
      </c>
      <c r="H42" s="15">
        <v>2864250</v>
      </c>
      <c r="I42" s="16" t="s">
        <v>114</v>
      </c>
    </row>
    <row r="43" spans="1:9" ht="31.5" customHeight="1">
      <c r="A43" s="821"/>
      <c r="B43" s="12">
        <v>40227</v>
      </c>
      <c r="C43" s="13" t="s">
        <v>115</v>
      </c>
      <c r="D43" s="32" t="s">
        <v>116</v>
      </c>
      <c r="E43" s="14" t="s">
        <v>12</v>
      </c>
      <c r="F43" s="15">
        <v>0</v>
      </c>
      <c r="G43" s="15">
        <v>0</v>
      </c>
      <c r="H43" s="15">
        <v>16600.41</v>
      </c>
      <c r="I43" s="16" t="s">
        <v>117</v>
      </c>
    </row>
    <row r="44" spans="1:9" ht="31.5" customHeight="1">
      <c r="A44" s="821"/>
      <c r="B44" s="12">
        <v>40227</v>
      </c>
      <c r="C44" s="13" t="s">
        <v>118</v>
      </c>
      <c r="D44" s="32" t="s">
        <v>119</v>
      </c>
      <c r="E44" s="14" t="s">
        <v>12</v>
      </c>
      <c r="F44" s="15">
        <v>0</v>
      </c>
      <c r="G44" s="15">
        <v>0</v>
      </c>
      <c r="H44" s="15">
        <v>31791000</v>
      </c>
      <c r="I44" s="16" t="s">
        <v>120</v>
      </c>
    </row>
    <row r="45" spans="1:9" ht="42" customHeight="1">
      <c r="A45" s="821"/>
      <c r="B45" s="12">
        <v>40227</v>
      </c>
      <c r="C45" s="13" t="s">
        <v>121</v>
      </c>
      <c r="D45" s="32" t="s">
        <v>122</v>
      </c>
      <c r="E45" s="14" t="s">
        <v>12</v>
      </c>
      <c r="F45" s="15">
        <v>0</v>
      </c>
      <c r="G45" s="15">
        <v>29349646.300000001</v>
      </c>
      <c r="H45" s="15">
        <v>0</v>
      </c>
      <c r="I45" s="16" t="s">
        <v>123</v>
      </c>
    </row>
    <row r="46" spans="1:9" ht="36" customHeight="1">
      <c r="A46" s="821"/>
      <c r="B46" s="12">
        <v>40227</v>
      </c>
      <c r="C46" s="13" t="s">
        <v>124</v>
      </c>
      <c r="D46" s="32" t="s">
        <v>125</v>
      </c>
      <c r="E46" s="14" t="s">
        <v>12</v>
      </c>
      <c r="F46" s="15">
        <v>0</v>
      </c>
      <c r="G46" s="15">
        <v>0</v>
      </c>
      <c r="H46" s="15">
        <v>16328832</v>
      </c>
      <c r="I46" s="16" t="s">
        <v>126</v>
      </c>
    </row>
    <row r="47" spans="1:9" ht="34.5" customHeight="1">
      <c r="A47" s="821"/>
      <c r="B47" s="12">
        <v>40227</v>
      </c>
      <c r="C47" s="13" t="s">
        <v>127</v>
      </c>
      <c r="D47" s="32" t="s">
        <v>128</v>
      </c>
      <c r="E47" s="14" t="s">
        <v>12</v>
      </c>
      <c r="F47" s="15">
        <v>432000</v>
      </c>
      <c r="G47" s="15">
        <v>432000</v>
      </c>
      <c r="H47" s="15">
        <v>0</v>
      </c>
      <c r="I47" s="16" t="s">
        <v>129</v>
      </c>
    </row>
    <row r="48" spans="1:9" ht="24.9" customHeight="1">
      <c r="A48" s="821"/>
      <c r="B48" s="12">
        <v>40227</v>
      </c>
      <c r="C48" s="13" t="s">
        <v>130</v>
      </c>
      <c r="D48" s="32" t="s">
        <v>131</v>
      </c>
      <c r="E48" s="14" t="s">
        <v>12</v>
      </c>
      <c r="F48" s="15">
        <v>0</v>
      </c>
      <c r="G48" s="15">
        <v>0</v>
      </c>
      <c r="H48" s="15">
        <v>15000</v>
      </c>
      <c r="I48" s="16" t="s">
        <v>132</v>
      </c>
    </row>
    <row r="49" spans="1:9" ht="24.9" customHeight="1">
      <c r="A49" s="821"/>
      <c r="B49" s="12">
        <v>40227</v>
      </c>
      <c r="C49" s="13" t="s">
        <v>133</v>
      </c>
      <c r="D49" s="32" t="s">
        <v>134</v>
      </c>
      <c r="E49" s="14" t="s">
        <v>12</v>
      </c>
      <c r="F49" s="15">
        <v>0</v>
      </c>
      <c r="G49" s="15">
        <v>0</v>
      </c>
      <c r="H49" s="15">
        <v>7174000</v>
      </c>
      <c r="I49" s="16" t="s">
        <v>135</v>
      </c>
    </row>
    <row r="50" spans="1:9" ht="24.9" customHeight="1">
      <c r="A50" s="821"/>
      <c r="B50" s="12">
        <v>40227</v>
      </c>
      <c r="C50" s="13" t="s">
        <v>136</v>
      </c>
      <c r="D50" s="32" t="s">
        <v>137</v>
      </c>
      <c r="E50" s="14" t="s">
        <v>12</v>
      </c>
      <c r="F50" s="15">
        <v>1968000</v>
      </c>
      <c r="G50" s="15">
        <v>1968000</v>
      </c>
      <c r="H50" s="15">
        <v>0</v>
      </c>
      <c r="I50" s="16" t="s">
        <v>138</v>
      </c>
    </row>
    <row r="51" spans="1:9" ht="24.9" customHeight="1">
      <c r="A51" s="821"/>
      <c r="B51" s="12">
        <v>40255</v>
      </c>
      <c r="C51" s="13" t="s">
        <v>139</v>
      </c>
      <c r="D51" s="32" t="s">
        <v>140</v>
      </c>
      <c r="E51" s="14" t="s">
        <v>12</v>
      </c>
      <c r="F51" s="15">
        <v>2211151.64</v>
      </c>
      <c r="G51" s="15">
        <v>2211151.64</v>
      </c>
      <c r="H51" s="15">
        <v>0</v>
      </c>
      <c r="I51" s="16" t="s">
        <v>141</v>
      </c>
    </row>
    <row r="52" spans="1:9" s="28" customFormat="1" ht="24.9" customHeight="1" thickBot="1">
      <c r="A52" s="822"/>
      <c r="B52" s="17">
        <v>40255</v>
      </c>
      <c r="C52" s="18" t="s">
        <v>142</v>
      </c>
      <c r="D52" s="37" t="s">
        <v>143</v>
      </c>
      <c r="E52" s="19" t="s">
        <v>12</v>
      </c>
      <c r="F52" s="20">
        <v>0</v>
      </c>
      <c r="G52" s="20">
        <v>0</v>
      </c>
      <c r="H52" s="20">
        <v>24750000</v>
      </c>
      <c r="I52" s="21" t="s">
        <v>46</v>
      </c>
    </row>
    <row r="53" spans="1:9" s="28" customFormat="1" ht="3" customHeight="1" thickBot="1">
      <c r="A53" s="22"/>
      <c r="B53" s="23"/>
      <c r="C53" s="24"/>
      <c r="D53" s="25"/>
      <c r="E53" s="25"/>
      <c r="F53" s="26"/>
      <c r="G53" s="26"/>
      <c r="H53" s="26"/>
      <c r="I53" s="27"/>
    </row>
    <row r="54" spans="1:9" ht="32.25" customHeight="1" thickBot="1">
      <c r="A54" s="39"/>
      <c r="B54" s="3" t="s">
        <v>1</v>
      </c>
      <c r="C54" s="5" t="s">
        <v>2</v>
      </c>
      <c r="D54" s="44" t="s">
        <v>3</v>
      </c>
      <c r="E54" s="5" t="s">
        <v>4</v>
      </c>
      <c r="F54" s="30" t="s">
        <v>5</v>
      </c>
      <c r="G54" s="5" t="s">
        <v>6</v>
      </c>
      <c r="H54" s="5" t="s">
        <v>7</v>
      </c>
      <c r="I54" s="6" t="s">
        <v>8</v>
      </c>
    </row>
    <row r="55" spans="1:9" ht="24.9" customHeight="1">
      <c r="A55" s="809" t="s">
        <v>9</v>
      </c>
      <c r="B55" s="12">
        <v>40255</v>
      </c>
      <c r="C55" s="13" t="s">
        <v>144</v>
      </c>
      <c r="D55" s="32" t="s">
        <v>145</v>
      </c>
      <c r="E55" s="14" t="s">
        <v>12</v>
      </c>
      <c r="F55" s="15">
        <v>120000</v>
      </c>
      <c r="G55" s="15">
        <v>120000</v>
      </c>
      <c r="H55" s="15">
        <v>0</v>
      </c>
      <c r="I55" s="16" t="s">
        <v>138</v>
      </c>
    </row>
    <row r="56" spans="1:9" ht="24.9" customHeight="1">
      <c r="A56" s="821"/>
      <c r="B56" s="12">
        <v>40255</v>
      </c>
      <c r="C56" s="13" t="s">
        <v>146</v>
      </c>
      <c r="D56" s="32" t="s">
        <v>147</v>
      </c>
      <c r="E56" s="14" t="s">
        <v>12</v>
      </c>
      <c r="F56" s="15">
        <v>135172000</v>
      </c>
      <c r="G56" s="15">
        <v>135172000</v>
      </c>
      <c r="H56" s="15">
        <v>0</v>
      </c>
      <c r="I56" s="16" t="s">
        <v>148</v>
      </c>
    </row>
    <row r="57" spans="1:9" ht="24.9" customHeight="1">
      <c r="A57" s="821"/>
      <c r="B57" s="12">
        <v>40255</v>
      </c>
      <c r="C57" s="13" t="s">
        <v>149</v>
      </c>
      <c r="D57" s="32" t="s">
        <v>150</v>
      </c>
      <c r="E57" s="14" t="s">
        <v>12</v>
      </c>
      <c r="F57" s="15">
        <v>0</v>
      </c>
      <c r="G57" s="15">
        <v>0</v>
      </c>
      <c r="H57" s="15">
        <v>400000</v>
      </c>
      <c r="I57" s="16" t="s">
        <v>151</v>
      </c>
    </row>
    <row r="58" spans="1:9" ht="24.9" customHeight="1">
      <c r="A58" s="821"/>
      <c r="B58" s="12">
        <v>40255</v>
      </c>
      <c r="C58" s="41" t="s">
        <v>152</v>
      </c>
      <c r="D58" s="32" t="s">
        <v>153</v>
      </c>
      <c r="E58" s="14" t="s">
        <v>12</v>
      </c>
      <c r="F58" s="15">
        <v>0</v>
      </c>
      <c r="G58" s="15">
        <v>0</v>
      </c>
      <c r="H58" s="15">
        <v>4000000</v>
      </c>
      <c r="I58" s="16" t="s">
        <v>154</v>
      </c>
    </row>
    <row r="59" spans="1:9" ht="24.9" customHeight="1">
      <c r="A59" s="821"/>
      <c r="B59" s="12">
        <v>40255</v>
      </c>
      <c r="C59" s="13" t="s">
        <v>155</v>
      </c>
      <c r="D59" s="14" t="s">
        <v>156</v>
      </c>
      <c r="E59" s="14" t="s">
        <v>12</v>
      </c>
      <c r="F59" s="15">
        <v>0</v>
      </c>
      <c r="G59" s="15">
        <v>0</v>
      </c>
      <c r="H59" s="15">
        <v>565000</v>
      </c>
      <c r="I59" s="16" t="s">
        <v>157</v>
      </c>
    </row>
    <row r="60" spans="1:9" ht="24.75" customHeight="1">
      <c r="A60" s="821"/>
      <c r="B60" s="42">
        <v>40255</v>
      </c>
      <c r="C60" s="43" t="s">
        <v>158</v>
      </c>
      <c r="D60" s="45" t="s">
        <v>159</v>
      </c>
      <c r="E60" s="46" t="s">
        <v>12</v>
      </c>
      <c r="F60" s="47">
        <v>0</v>
      </c>
      <c r="G60" s="47">
        <v>0</v>
      </c>
      <c r="H60" s="47">
        <v>90000</v>
      </c>
      <c r="I60" s="48" t="s">
        <v>160</v>
      </c>
    </row>
    <row r="61" spans="1:9" ht="24.75" customHeight="1">
      <c r="A61" s="821"/>
      <c r="B61" s="12">
        <v>40255</v>
      </c>
      <c r="C61" s="13" t="s">
        <v>161</v>
      </c>
      <c r="D61" s="49" t="s">
        <v>162</v>
      </c>
      <c r="E61" s="50" t="s">
        <v>12</v>
      </c>
      <c r="F61" s="51">
        <v>0</v>
      </c>
      <c r="G61" s="51">
        <v>0</v>
      </c>
      <c r="H61" s="51">
        <v>25000000</v>
      </c>
      <c r="I61" s="52" t="s">
        <v>163</v>
      </c>
    </row>
    <row r="62" spans="1:9" ht="24.75" customHeight="1">
      <c r="A62" s="821"/>
      <c r="B62" s="12">
        <v>40255</v>
      </c>
      <c r="C62" s="13" t="s">
        <v>164</v>
      </c>
      <c r="D62" s="49" t="s">
        <v>165</v>
      </c>
      <c r="E62" s="50" t="s">
        <v>12</v>
      </c>
      <c r="F62" s="51">
        <v>0</v>
      </c>
      <c r="G62" s="51">
        <v>0</v>
      </c>
      <c r="H62" s="51">
        <v>6050000</v>
      </c>
      <c r="I62" s="52" t="s">
        <v>166</v>
      </c>
    </row>
    <row r="63" spans="1:9" ht="24.75" customHeight="1">
      <c r="A63" s="821"/>
      <c r="B63" s="12">
        <v>40255</v>
      </c>
      <c r="C63" s="13" t="s">
        <v>167</v>
      </c>
      <c r="D63" s="49" t="s">
        <v>168</v>
      </c>
      <c r="E63" s="50" t="s">
        <v>12</v>
      </c>
      <c r="F63" s="51">
        <v>30000</v>
      </c>
      <c r="G63" s="51">
        <v>30000</v>
      </c>
      <c r="H63" s="51">
        <v>0</v>
      </c>
      <c r="I63" s="52" t="s">
        <v>169</v>
      </c>
    </row>
    <row r="64" spans="1:9" ht="24.75" customHeight="1">
      <c r="A64" s="821"/>
      <c r="B64" s="12">
        <v>40255</v>
      </c>
      <c r="C64" s="13" t="s">
        <v>170</v>
      </c>
      <c r="D64" s="49" t="s">
        <v>171</v>
      </c>
      <c r="E64" s="50" t="s">
        <v>12</v>
      </c>
      <c r="F64" s="51">
        <v>0</v>
      </c>
      <c r="G64" s="51">
        <v>0</v>
      </c>
      <c r="H64" s="51">
        <v>33000</v>
      </c>
      <c r="I64" s="52" t="s">
        <v>172</v>
      </c>
    </row>
    <row r="65" spans="1:9" ht="24.75" customHeight="1">
      <c r="A65" s="821"/>
      <c r="B65" s="12">
        <v>40255</v>
      </c>
      <c r="C65" s="13" t="s">
        <v>173</v>
      </c>
      <c r="D65" s="49" t="s">
        <v>174</v>
      </c>
      <c r="E65" s="50" t="s">
        <v>12</v>
      </c>
      <c r="F65" s="51">
        <v>0</v>
      </c>
      <c r="G65" s="51">
        <v>0</v>
      </c>
      <c r="H65" s="51">
        <v>140000</v>
      </c>
      <c r="I65" s="52" t="s">
        <v>175</v>
      </c>
    </row>
    <row r="66" spans="1:9" ht="34.5" customHeight="1">
      <c r="A66" s="821"/>
      <c r="B66" s="12">
        <v>40255</v>
      </c>
      <c r="C66" s="13" t="s">
        <v>176</v>
      </c>
      <c r="D66" s="49" t="s">
        <v>177</v>
      </c>
      <c r="E66" s="50" t="s">
        <v>12</v>
      </c>
      <c r="F66" s="51">
        <v>0</v>
      </c>
      <c r="G66" s="51">
        <v>411119.47</v>
      </c>
      <c r="H66" s="51">
        <v>0</v>
      </c>
      <c r="I66" s="52" t="s">
        <v>178</v>
      </c>
    </row>
    <row r="67" spans="1:9" ht="24.75" customHeight="1">
      <c r="A67" s="821"/>
      <c r="B67" s="12">
        <v>40255</v>
      </c>
      <c r="C67" s="13" t="s">
        <v>179</v>
      </c>
      <c r="D67" s="49" t="s">
        <v>180</v>
      </c>
      <c r="E67" s="50" t="s">
        <v>12</v>
      </c>
      <c r="F67" s="51">
        <v>827254</v>
      </c>
      <c r="G67" s="51">
        <v>827254</v>
      </c>
      <c r="H67" s="51">
        <v>0</v>
      </c>
      <c r="I67" s="52" t="s">
        <v>181</v>
      </c>
    </row>
    <row r="68" spans="1:9" ht="24.75" customHeight="1">
      <c r="A68" s="821"/>
      <c r="B68" s="12">
        <v>40255</v>
      </c>
      <c r="C68" s="13" t="s">
        <v>182</v>
      </c>
      <c r="D68" s="49" t="s">
        <v>183</v>
      </c>
      <c r="E68" s="50" t="s">
        <v>12</v>
      </c>
      <c r="F68" s="51">
        <v>0</v>
      </c>
      <c r="G68" s="51">
        <v>0</v>
      </c>
      <c r="H68" s="51">
        <v>722957</v>
      </c>
      <c r="I68" s="52" t="s">
        <v>184</v>
      </c>
    </row>
    <row r="69" spans="1:9" ht="24.75" customHeight="1">
      <c r="A69" s="821"/>
      <c r="B69" s="12">
        <v>40255</v>
      </c>
      <c r="C69" s="13" t="s">
        <v>185</v>
      </c>
      <c r="D69" s="49" t="s">
        <v>186</v>
      </c>
      <c r="E69" s="50" t="s">
        <v>12</v>
      </c>
      <c r="F69" s="51">
        <v>0</v>
      </c>
      <c r="G69" s="51">
        <v>0</v>
      </c>
      <c r="H69" s="51">
        <v>536172</v>
      </c>
      <c r="I69" s="52" t="s">
        <v>187</v>
      </c>
    </row>
    <row r="70" spans="1:9" ht="24.75" customHeight="1">
      <c r="A70" s="821"/>
      <c r="B70" s="12">
        <v>40255</v>
      </c>
      <c r="C70" s="13" t="s">
        <v>188</v>
      </c>
      <c r="D70" s="49" t="s">
        <v>189</v>
      </c>
      <c r="E70" s="50" t="s">
        <v>12</v>
      </c>
      <c r="F70" s="51">
        <v>0</v>
      </c>
      <c r="G70" s="51">
        <v>0</v>
      </c>
      <c r="H70" s="51">
        <v>700000</v>
      </c>
      <c r="I70" s="52" t="s">
        <v>190</v>
      </c>
    </row>
    <row r="71" spans="1:9" ht="24.75" customHeight="1" thickBot="1">
      <c r="A71" s="822"/>
      <c r="B71" s="17">
        <v>40255</v>
      </c>
      <c r="C71" s="18" t="s">
        <v>191</v>
      </c>
      <c r="D71" s="53" t="s">
        <v>192</v>
      </c>
      <c r="E71" s="19" t="s">
        <v>12</v>
      </c>
      <c r="F71" s="54">
        <v>1757536</v>
      </c>
      <c r="G71" s="54">
        <v>1757536</v>
      </c>
      <c r="H71" s="54">
        <v>0</v>
      </c>
      <c r="I71" s="55" t="s">
        <v>193</v>
      </c>
    </row>
    <row r="72" spans="1:9" ht="32.25" customHeight="1" thickBot="1">
      <c r="A72" s="39"/>
      <c r="B72" s="3" t="s">
        <v>1</v>
      </c>
      <c r="C72" s="5" t="s">
        <v>2</v>
      </c>
      <c r="D72" s="44" t="s">
        <v>3</v>
      </c>
      <c r="E72" s="5" t="s">
        <v>4</v>
      </c>
      <c r="F72" s="30" t="s">
        <v>5</v>
      </c>
      <c r="G72" s="5" t="s">
        <v>6</v>
      </c>
      <c r="H72" s="5" t="s">
        <v>7</v>
      </c>
      <c r="I72" s="6" t="s">
        <v>8</v>
      </c>
    </row>
    <row r="73" spans="1:9" ht="33" customHeight="1">
      <c r="A73" s="809" t="s">
        <v>9</v>
      </c>
      <c r="B73" s="12">
        <v>40255</v>
      </c>
      <c r="C73" s="13" t="s">
        <v>194</v>
      </c>
      <c r="D73" s="49" t="s">
        <v>195</v>
      </c>
      <c r="E73" s="50" t="s">
        <v>12</v>
      </c>
      <c r="F73" s="51">
        <v>3249999.89</v>
      </c>
      <c r="G73" s="51">
        <v>3249999.89</v>
      </c>
      <c r="H73" s="51">
        <v>0</v>
      </c>
      <c r="I73" s="52" t="s">
        <v>196</v>
      </c>
    </row>
    <row r="74" spans="1:9" ht="42.75" customHeight="1">
      <c r="A74" s="810"/>
      <c r="B74" s="12">
        <v>40255</v>
      </c>
      <c r="C74" s="13" t="s">
        <v>197</v>
      </c>
      <c r="D74" s="49" t="s">
        <v>198</v>
      </c>
      <c r="E74" s="50" t="s">
        <v>12</v>
      </c>
      <c r="F74" s="51">
        <v>0</v>
      </c>
      <c r="G74" s="51">
        <v>0</v>
      </c>
      <c r="H74" s="51">
        <v>4550000</v>
      </c>
      <c r="I74" s="52" t="s">
        <v>199</v>
      </c>
    </row>
    <row r="75" spans="1:9" ht="24.75" customHeight="1">
      <c r="A75" s="810"/>
      <c r="B75" s="12">
        <v>40255</v>
      </c>
      <c r="C75" s="13" t="s">
        <v>200</v>
      </c>
      <c r="D75" s="49" t="s">
        <v>201</v>
      </c>
      <c r="E75" s="50" t="s">
        <v>12</v>
      </c>
      <c r="F75" s="51">
        <v>0</v>
      </c>
      <c r="G75" s="51">
        <v>0</v>
      </c>
      <c r="H75" s="51">
        <v>153680</v>
      </c>
      <c r="I75" s="52" t="s">
        <v>202</v>
      </c>
    </row>
    <row r="76" spans="1:9" ht="24.75" customHeight="1">
      <c r="A76" s="810"/>
      <c r="B76" s="12">
        <v>40255</v>
      </c>
      <c r="C76" s="13" t="s">
        <v>203</v>
      </c>
      <c r="D76" s="49" t="s">
        <v>204</v>
      </c>
      <c r="E76" s="14" t="s">
        <v>12</v>
      </c>
      <c r="F76" s="51">
        <v>6486894</v>
      </c>
      <c r="G76" s="51">
        <v>6486894</v>
      </c>
      <c r="H76" s="51">
        <v>0</v>
      </c>
      <c r="I76" s="52" t="s">
        <v>205</v>
      </c>
    </row>
    <row r="77" spans="1:9" ht="24.75" customHeight="1">
      <c r="A77" s="810"/>
      <c r="B77" s="56">
        <v>40275</v>
      </c>
      <c r="C77" s="57" t="s">
        <v>206</v>
      </c>
      <c r="D77" s="58" t="s">
        <v>207</v>
      </c>
      <c r="E77" s="46" t="s">
        <v>12</v>
      </c>
      <c r="F77" s="59">
        <v>702375.88</v>
      </c>
      <c r="G77" s="59">
        <v>702375.88</v>
      </c>
      <c r="H77" s="59">
        <v>0</v>
      </c>
      <c r="I77" s="60" t="s">
        <v>208</v>
      </c>
    </row>
    <row r="78" spans="1:9" ht="24.75" customHeight="1">
      <c r="A78" s="810"/>
      <c r="B78" s="40">
        <v>40283</v>
      </c>
      <c r="C78" s="41" t="s">
        <v>209</v>
      </c>
      <c r="D78" s="61" t="s">
        <v>210</v>
      </c>
      <c r="E78" s="50" t="s">
        <v>12</v>
      </c>
      <c r="F78" s="62">
        <v>938398</v>
      </c>
      <c r="G78" s="62">
        <v>938398</v>
      </c>
      <c r="H78" s="62">
        <v>0</v>
      </c>
      <c r="I78" s="63" t="s">
        <v>193</v>
      </c>
    </row>
    <row r="79" spans="1:9" ht="31.5" customHeight="1">
      <c r="A79" s="810"/>
      <c r="B79" s="40">
        <v>40283</v>
      </c>
      <c r="C79" s="41" t="s">
        <v>211</v>
      </c>
      <c r="D79" s="61" t="s">
        <v>212</v>
      </c>
      <c r="E79" s="50" t="s">
        <v>12</v>
      </c>
      <c r="F79" s="62">
        <v>1692288.69</v>
      </c>
      <c r="G79" s="62">
        <v>1692288.69</v>
      </c>
      <c r="H79" s="62">
        <v>0</v>
      </c>
      <c r="I79" s="63" t="s">
        <v>213</v>
      </c>
    </row>
    <row r="80" spans="1:9" ht="24" customHeight="1">
      <c r="A80" s="810"/>
      <c r="B80" s="40">
        <v>40283</v>
      </c>
      <c r="C80" s="41" t="s">
        <v>214</v>
      </c>
      <c r="D80" s="61" t="s">
        <v>215</v>
      </c>
      <c r="E80" s="50" t="s">
        <v>12</v>
      </c>
      <c r="F80" s="62">
        <v>0</v>
      </c>
      <c r="G80" s="62">
        <v>0</v>
      </c>
      <c r="H80" s="62">
        <v>12000000</v>
      </c>
      <c r="I80" s="63" t="s">
        <v>216</v>
      </c>
    </row>
    <row r="81" spans="1:9" ht="24.75" customHeight="1">
      <c r="A81" s="810"/>
      <c r="B81" s="40">
        <v>40283</v>
      </c>
      <c r="C81" s="41" t="s">
        <v>217</v>
      </c>
      <c r="D81" s="61" t="s">
        <v>218</v>
      </c>
      <c r="E81" s="50" t="s">
        <v>12</v>
      </c>
      <c r="F81" s="62">
        <v>0</v>
      </c>
      <c r="G81" s="62">
        <v>0</v>
      </c>
      <c r="H81" s="62">
        <v>225000</v>
      </c>
      <c r="I81" s="63" t="s">
        <v>219</v>
      </c>
    </row>
    <row r="82" spans="1:9" ht="24.75" customHeight="1">
      <c r="A82" s="810"/>
      <c r="B82" s="40">
        <v>40283</v>
      </c>
      <c r="C82" s="41" t="s">
        <v>220</v>
      </c>
      <c r="D82" s="61" t="s">
        <v>221</v>
      </c>
      <c r="E82" s="50" t="s">
        <v>12</v>
      </c>
      <c r="F82" s="62">
        <v>23860000</v>
      </c>
      <c r="G82" s="62">
        <v>23860000</v>
      </c>
      <c r="H82" s="62">
        <v>0</v>
      </c>
      <c r="I82" s="63" t="s">
        <v>222</v>
      </c>
    </row>
    <row r="83" spans="1:9" ht="24.75" customHeight="1">
      <c r="A83" s="810"/>
      <c r="B83" s="40">
        <v>40283</v>
      </c>
      <c r="C83" s="41" t="s">
        <v>223</v>
      </c>
      <c r="D83" s="61" t="s">
        <v>224</v>
      </c>
      <c r="E83" s="50" t="s">
        <v>12</v>
      </c>
      <c r="F83" s="62">
        <v>0</v>
      </c>
      <c r="G83" s="62">
        <v>0</v>
      </c>
      <c r="H83" s="62">
        <v>1550000</v>
      </c>
      <c r="I83" s="63" t="s">
        <v>225</v>
      </c>
    </row>
    <row r="84" spans="1:9" ht="24.75" customHeight="1">
      <c r="A84" s="810"/>
      <c r="B84" s="40">
        <v>40283</v>
      </c>
      <c r="C84" s="41" t="s">
        <v>226</v>
      </c>
      <c r="D84" s="61" t="s">
        <v>227</v>
      </c>
      <c r="E84" s="50" t="s">
        <v>12</v>
      </c>
      <c r="F84" s="62">
        <v>0</v>
      </c>
      <c r="G84" s="62">
        <v>0</v>
      </c>
      <c r="H84" s="62">
        <v>97000000</v>
      </c>
      <c r="I84" s="63" t="s">
        <v>228</v>
      </c>
    </row>
    <row r="85" spans="1:9" ht="24.75" customHeight="1">
      <c r="A85" s="810"/>
      <c r="B85" s="40">
        <v>40283</v>
      </c>
      <c r="C85" s="41" t="s">
        <v>229</v>
      </c>
      <c r="D85" s="61" t="s">
        <v>230</v>
      </c>
      <c r="E85" s="50" t="s">
        <v>12</v>
      </c>
      <c r="F85" s="62">
        <v>0</v>
      </c>
      <c r="G85" s="62">
        <v>0</v>
      </c>
      <c r="H85" s="62">
        <v>640000</v>
      </c>
      <c r="I85" s="63" t="s">
        <v>231</v>
      </c>
    </row>
    <row r="86" spans="1:9" ht="21.75" customHeight="1">
      <c r="A86" s="810"/>
      <c r="B86" s="40">
        <v>40283</v>
      </c>
      <c r="C86" s="41" t="s">
        <v>232</v>
      </c>
      <c r="D86" s="61" t="s">
        <v>233</v>
      </c>
      <c r="E86" s="50" t="s">
        <v>12</v>
      </c>
      <c r="F86" s="62">
        <v>4001010000</v>
      </c>
      <c r="G86" s="62">
        <v>4001010000</v>
      </c>
      <c r="H86" s="62">
        <v>0</v>
      </c>
      <c r="I86" s="63" t="s">
        <v>234</v>
      </c>
    </row>
    <row r="87" spans="1:9" ht="24.75" customHeight="1">
      <c r="A87" s="810"/>
      <c r="B87" s="40">
        <v>40283</v>
      </c>
      <c r="C87" s="41" t="s">
        <v>235</v>
      </c>
      <c r="D87" s="61" t="s">
        <v>236</v>
      </c>
      <c r="E87" s="50" t="s">
        <v>12</v>
      </c>
      <c r="F87" s="62">
        <v>0</v>
      </c>
      <c r="G87" s="62">
        <v>0</v>
      </c>
      <c r="H87" s="62">
        <v>100000</v>
      </c>
      <c r="I87" s="63" t="s">
        <v>237</v>
      </c>
    </row>
    <row r="88" spans="1:9" ht="32.25" customHeight="1" thickBot="1">
      <c r="A88" s="811"/>
      <c r="B88" s="17">
        <v>40283</v>
      </c>
      <c r="C88" s="18" t="s">
        <v>238</v>
      </c>
      <c r="D88" s="53" t="s">
        <v>239</v>
      </c>
      <c r="E88" s="19" t="s">
        <v>12</v>
      </c>
      <c r="F88" s="54">
        <v>4300000</v>
      </c>
      <c r="G88" s="54">
        <v>4300000</v>
      </c>
      <c r="H88" s="54">
        <v>0</v>
      </c>
      <c r="I88" s="55" t="s">
        <v>240</v>
      </c>
    </row>
    <row r="89" spans="1:9" ht="24.75" customHeight="1" thickBot="1">
      <c r="A89" s="39"/>
      <c r="B89" s="3" t="s">
        <v>1</v>
      </c>
      <c r="C89" s="5" t="s">
        <v>2</v>
      </c>
      <c r="D89" s="44" t="s">
        <v>3</v>
      </c>
      <c r="E89" s="5" t="s">
        <v>4</v>
      </c>
      <c r="F89" s="30" t="s">
        <v>5</v>
      </c>
      <c r="G89" s="5" t="s">
        <v>6</v>
      </c>
      <c r="H89" s="5" t="s">
        <v>7</v>
      </c>
      <c r="I89" s="6" t="s">
        <v>8</v>
      </c>
    </row>
    <row r="90" spans="1:9" ht="24.75" customHeight="1">
      <c r="A90" s="809" t="s">
        <v>9</v>
      </c>
      <c r="B90" s="40">
        <v>40283</v>
      </c>
      <c r="C90" s="41" t="s">
        <v>241</v>
      </c>
      <c r="D90" s="61" t="s">
        <v>242</v>
      </c>
      <c r="E90" s="50" t="s">
        <v>12</v>
      </c>
      <c r="F90" s="62">
        <v>0</v>
      </c>
      <c r="G90" s="62">
        <v>0</v>
      </c>
      <c r="H90" s="62">
        <v>1308000</v>
      </c>
      <c r="I90" s="63" t="s">
        <v>243</v>
      </c>
    </row>
    <row r="91" spans="1:9" ht="24.75" customHeight="1">
      <c r="A91" s="810"/>
      <c r="B91" s="40">
        <v>40283</v>
      </c>
      <c r="C91" s="41" t="s">
        <v>244</v>
      </c>
      <c r="D91" s="61" t="s">
        <v>245</v>
      </c>
      <c r="E91" s="50" t="s">
        <v>12</v>
      </c>
      <c r="F91" s="62">
        <v>0</v>
      </c>
      <c r="G91" s="62">
        <f>1435555+5479631</f>
        <v>6915186</v>
      </c>
      <c r="H91" s="62">
        <v>0</v>
      </c>
      <c r="I91" s="63" t="s">
        <v>246</v>
      </c>
    </row>
    <row r="92" spans="1:9" ht="24.75" customHeight="1">
      <c r="A92" s="810"/>
      <c r="B92" s="40">
        <v>40283</v>
      </c>
      <c r="C92" s="41" t="s">
        <v>247</v>
      </c>
      <c r="D92" s="61" t="s">
        <v>248</v>
      </c>
      <c r="E92" s="50" t="s">
        <v>12</v>
      </c>
      <c r="F92" s="62">
        <v>0</v>
      </c>
      <c r="G92" s="62">
        <v>0</v>
      </c>
      <c r="H92" s="62">
        <v>570000</v>
      </c>
      <c r="I92" s="63" t="s">
        <v>249</v>
      </c>
    </row>
    <row r="93" spans="1:9" ht="24.75" customHeight="1">
      <c r="A93" s="810"/>
      <c r="B93" s="40">
        <v>40283</v>
      </c>
      <c r="C93" s="41" t="s">
        <v>250</v>
      </c>
      <c r="D93" s="61" t="s">
        <v>251</v>
      </c>
      <c r="E93" s="50" t="s">
        <v>12</v>
      </c>
      <c r="F93" s="62">
        <v>0</v>
      </c>
      <c r="G93" s="62">
        <v>0</v>
      </c>
      <c r="H93" s="62">
        <v>3986880</v>
      </c>
      <c r="I93" s="63" t="s">
        <v>252</v>
      </c>
    </row>
    <row r="94" spans="1:9" ht="24.75" customHeight="1">
      <c r="A94" s="810"/>
      <c r="B94" s="40">
        <v>40283</v>
      </c>
      <c r="C94" s="41" t="s">
        <v>253</v>
      </c>
      <c r="D94" s="61" t="s">
        <v>254</v>
      </c>
      <c r="E94" s="50" t="s">
        <v>12</v>
      </c>
      <c r="F94" s="62">
        <v>1360384</v>
      </c>
      <c r="G94" s="62">
        <v>1360384</v>
      </c>
      <c r="H94" s="62">
        <v>0</v>
      </c>
      <c r="I94" s="63" t="s">
        <v>255</v>
      </c>
    </row>
    <row r="95" spans="1:9" ht="24.75" customHeight="1">
      <c r="A95" s="810"/>
      <c r="B95" s="40">
        <v>40283</v>
      </c>
      <c r="C95" s="41" t="s">
        <v>256</v>
      </c>
      <c r="D95" s="61" t="s">
        <v>257</v>
      </c>
      <c r="E95" s="50" t="s">
        <v>12</v>
      </c>
      <c r="F95" s="62">
        <v>0</v>
      </c>
      <c r="G95" s="62">
        <v>0</v>
      </c>
      <c r="H95" s="62">
        <v>22667826</v>
      </c>
      <c r="I95" s="63" t="s">
        <v>258</v>
      </c>
    </row>
    <row r="96" spans="1:9" ht="24.75" customHeight="1">
      <c r="A96" s="810"/>
      <c r="B96" s="40">
        <v>40283</v>
      </c>
      <c r="C96" s="41" t="s">
        <v>259</v>
      </c>
      <c r="D96" s="61" t="s">
        <v>260</v>
      </c>
      <c r="E96" s="50" t="s">
        <v>12</v>
      </c>
      <c r="F96" s="62">
        <v>0</v>
      </c>
      <c r="G96" s="62">
        <v>0</v>
      </c>
      <c r="H96" s="62">
        <v>1000000</v>
      </c>
      <c r="I96" s="63" t="s">
        <v>261</v>
      </c>
    </row>
    <row r="97" spans="1:9" ht="24.75" customHeight="1">
      <c r="A97" s="810"/>
      <c r="B97" s="40">
        <v>40283</v>
      </c>
      <c r="C97" s="41" t="s">
        <v>262</v>
      </c>
      <c r="D97" s="61" t="s">
        <v>263</v>
      </c>
      <c r="E97" s="50" t="s">
        <v>12</v>
      </c>
      <c r="F97" s="62">
        <v>735300</v>
      </c>
      <c r="G97" s="62">
        <v>735300</v>
      </c>
      <c r="H97" s="62">
        <v>0</v>
      </c>
      <c r="I97" s="63" t="s">
        <v>264</v>
      </c>
    </row>
    <row r="98" spans="1:9" ht="33.75" customHeight="1">
      <c r="A98" s="810"/>
      <c r="B98" s="40">
        <v>40283</v>
      </c>
      <c r="C98" s="41" t="s">
        <v>265</v>
      </c>
      <c r="D98" s="61" t="s">
        <v>266</v>
      </c>
      <c r="E98" s="50" t="s">
        <v>12</v>
      </c>
      <c r="F98" s="62">
        <v>0</v>
      </c>
      <c r="G98" s="62">
        <v>0</v>
      </c>
      <c r="H98" s="62">
        <f>502897+726000</f>
        <v>1228897</v>
      </c>
      <c r="I98" s="63" t="s">
        <v>267</v>
      </c>
    </row>
    <row r="99" spans="1:9" ht="34.5" customHeight="1">
      <c r="A99" s="810"/>
      <c r="B99" s="40">
        <v>40283</v>
      </c>
      <c r="C99" s="41" t="s">
        <v>268</v>
      </c>
      <c r="D99" s="61" t="s">
        <v>269</v>
      </c>
      <c r="E99" s="50" t="s">
        <v>12</v>
      </c>
      <c r="F99" s="62">
        <v>0</v>
      </c>
      <c r="G99" s="62">
        <v>0</v>
      </c>
      <c r="H99" s="62">
        <v>3200000</v>
      </c>
      <c r="I99" s="63" t="s">
        <v>270</v>
      </c>
    </row>
    <row r="100" spans="1:9" ht="24.75" customHeight="1">
      <c r="A100" s="810"/>
      <c r="B100" s="40">
        <v>40283</v>
      </c>
      <c r="C100" s="41" t="s">
        <v>271</v>
      </c>
      <c r="D100" s="61" t="s">
        <v>272</v>
      </c>
      <c r="E100" s="50" t="s">
        <v>12</v>
      </c>
      <c r="F100" s="62">
        <v>0</v>
      </c>
      <c r="G100" s="62">
        <v>0</v>
      </c>
      <c r="H100" s="62">
        <v>1000000</v>
      </c>
      <c r="I100" s="63" t="s">
        <v>273</v>
      </c>
    </row>
    <row r="101" spans="1:9" ht="24.75" customHeight="1">
      <c r="A101" s="810"/>
      <c r="B101" s="40">
        <v>40283</v>
      </c>
      <c r="C101" s="41" t="s">
        <v>274</v>
      </c>
      <c r="D101" s="61" t="s">
        <v>275</v>
      </c>
      <c r="E101" s="50" t="s">
        <v>12</v>
      </c>
      <c r="F101" s="62">
        <v>0</v>
      </c>
      <c r="G101" s="62">
        <v>0</v>
      </c>
      <c r="H101" s="62">
        <v>200000</v>
      </c>
      <c r="I101" s="63" t="s">
        <v>276</v>
      </c>
    </row>
    <row r="102" spans="1:9" ht="20.25" customHeight="1">
      <c r="A102" s="810"/>
      <c r="B102" s="40">
        <v>40283</v>
      </c>
      <c r="C102" s="41" t="s">
        <v>277</v>
      </c>
      <c r="D102" s="61" t="s">
        <v>278</v>
      </c>
      <c r="E102" s="50" t="s">
        <v>12</v>
      </c>
      <c r="F102" s="62">
        <v>1121900</v>
      </c>
      <c r="G102" s="62">
        <v>1121900</v>
      </c>
      <c r="H102" s="62">
        <v>0</v>
      </c>
      <c r="I102" s="63" t="s">
        <v>279</v>
      </c>
    </row>
    <row r="103" spans="1:9" ht="30.75" customHeight="1">
      <c r="A103" s="810"/>
      <c r="B103" s="40">
        <v>40283</v>
      </c>
      <c r="C103" s="41" t="s">
        <v>280</v>
      </c>
      <c r="D103" s="61" t="s">
        <v>281</v>
      </c>
      <c r="E103" s="50" t="s">
        <v>12</v>
      </c>
      <c r="F103" s="62">
        <v>0</v>
      </c>
      <c r="G103" s="62">
        <v>0</v>
      </c>
      <c r="H103" s="62">
        <v>279120</v>
      </c>
      <c r="I103" s="63" t="s">
        <v>282</v>
      </c>
    </row>
    <row r="104" spans="1:9" ht="24.75" customHeight="1">
      <c r="A104" s="810"/>
      <c r="B104" s="40">
        <v>40283</v>
      </c>
      <c r="C104" s="41" t="s">
        <v>283</v>
      </c>
      <c r="D104" s="61" t="s">
        <v>284</v>
      </c>
      <c r="E104" s="50" t="s">
        <v>12</v>
      </c>
      <c r="F104" s="62">
        <v>0</v>
      </c>
      <c r="G104" s="62">
        <v>1425000</v>
      </c>
      <c r="H104" s="62">
        <v>0</v>
      </c>
      <c r="I104" s="63" t="s">
        <v>285</v>
      </c>
    </row>
    <row r="105" spans="1:9" ht="33" customHeight="1" thickBot="1">
      <c r="A105" s="811"/>
      <c r="B105" s="17">
        <v>40283</v>
      </c>
      <c r="C105" s="18" t="s">
        <v>286</v>
      </c>
      <c r="D105" s="53" t="s">
        <v>287</v>
      </c>
      <c r="E105" s="19" t="s">
        <v>12</v>
      </c>
      <c r="F105" s="54">
        <v>0</v>
      </c>
      <c r="G105" s="54">
        <v>0</v>
      </c>
      <c r="H105" s="54">
        <v>50000</v>
      </c>
      <c r="I105" s="55" t="s">
        <v>288</v>
      </c>
    </row>
    <row r="106" spans="1:9" s="28" customFormat="1" ht="3.75" customHeight="1" thickBot="1">
      <c r="A106" s="64"/>
      <c r="B106" s="23"/>
      <c r="C106" s="24"/>
      <c r="D106" s="65"/>
      <c r="E106" s="25"/>
      <c r="F106" s="66"/>
      <c r="G106" s="66"/>
      <c r="H106" s="66"/>
      <c r="I106" s="67"/>
    </row>
    <row r="107" spans="1:9" ht="24.75" customHeight="1" thickBot="1">
      <c r="A107" s="39"/>
      <c r="B107" s="3" t="s">
        <v>1</v>
      </c>
      <c r="C107" s="5" t="s">
        <v>2</v>
      </c>
      <c r="D107" s="44" t="s">
        <v>3</v>
      </c>
      <c r="E107" s="5" t="s">
        <v>4</v>
      </c>
      <c r="F107" s="30" t="s">
        <v>5</v>
      </c>
      <c r="G107" s="5" t="s">
        <v>6</v>
      </c>
      <c r="H107" s="5" t="s">
        <v>7</v>
      </c>
      <c r="I107" s="6" t="s">
        <v>8</v>
      </c>
    </row>
    <row r="108" spans="1:9" ht="36" customHeight="1">
      <c r="A108" s="809" t="s">
        <v>289</v>
      </c>
      <c r="B108" s="68">
        <v>40283</v>
      </c>
      <c r="C108" s="41" t="s">
        <v>290</v>
      </c>
      <c r="D108" s="61" t="s">
        <v>291</v>
      </c>
      <c r="E108" s="50" t="s">
        <v>12</v>
      </c>
      <c r="F108" s="62">
        <v>0</v>
      </c>
      <c r="G108" s="62">
        <v>0</v>
      </c>
      <c r="H108" s="62">
        <v>1515000</v>
      </c>
      <c r="I108" s="63" t="s">
        <v>292</v>
      </c>
    </row>
    <row r="109" spans="1:9" ht="31.5" customHeight="1">
      <c r="A109" s="810"/>
      <c r="B109" s="68">
        <v>40283</v>
      </c>
      <c r="C109" s="41" t="s">
        <v>293</v>
      </c>
      <c r="D109" s="61" t="s">
        <v>294</v>
      </c>
      <c r="E109" s="50" t="s">
        <v>12</v>
      </c>
      <c r="F109" s="62">
        <v>656937.4</v>
      </c>
      <c r="G109" s="62">
        <v>656937.4</v>
      </c>
      <c r="H109" s="62">
        <v>0</v>
      </c>
      <c r="I109" s="63" t="s">
        <v>295</v>
      </c>
    </row>
    <row r="110" spans="1:9" ht="42.75" customHeight="1">
      <c r="A110" s="810"/>
      <c r="B110" s="68">
        <v>40283</v>
      </c>
      <c r="C110" s="41" t="s">
        <v>296</v>
      </c>
      <c r="D110" s="61" t="s">
        <v>297</v>
      </c>
      <c r="E110" s="50" t="s">
        <v>12</v>
      </c>
      <c r="F110" s="62">
        <v>0</v>
      </c>
      <c r="G110" s="62">
        <v>0</v>
      </c>
      <c r="H110" s="62">
        <v>7000000</v>
      </c>
      <c r="I110" s="63" t="s">
        <v>298</v>
      </c>
    </row>
    <row r="111" spans="1:9" ht="24.75" customHeight="1">
      <c r="A111" s="810"/>
      <c r="B111" s="68">
        <v>40283</v>
      </c>
      <c r="C111" s="41" t="s">
        <v>299</v>
      </c>
      <c r="D111" s="61" t="s">
        <v>300</v>
      </c>
      <c r="E111" s="50" t="s">
        <v>12</v>
      </c>
      <c r="F111" s="62">
        <v>0</v>
      </c>
      <c r="G111" s="62">
        <v>0</v>
      </c>
      <c r="H111" s="62">
        <v>39717.599999999999</v>
      </c>
      <c r="I111" s="63" t="s">
        <v>301</v>
      </c>
    </row>
    <row r="112" spans="1:9" ht="24.75" customHeight="1">
      <c r="A112" s="810"/>
      <c r="B112" s="68">
        <v>40283</v>
      </c>
      <c r="C112" s="41" t="s">
        <v>302</v>
      </c>
      <c r="D112" s="61" t="s">
        <v>303</v>
      </c>
      <c r="E112" s="50" t="s">
        <v>12</v>
      </c>
      <c r="F112" s="62">
        <v>0</v>
      </c>
      <c r="G112" s="62">
        <v>0</v>
      </c>
      <c r="H112" s="62">
        <v>70000</v>
      </c>
      <c r="I112" s="63" t="s">
        <v>304</v>
      </c>
    </row>
    <row r="113" spans="1:9" ht="24.75" customHeight="1">
      <c r="A113" s="810"/>
      <c r="B113" s="68">
        <v>40283</v>
      </c>
      <c r="C113" s="41" t="s">
        <v>305</v>
      </c>
      <c r="D113" s="61" t="s">
        <v>306</v>
      </c>
      <c r="E113" s="50" t="s">
        <v>12</v>
      </c>
      <c r="F113" s="62">
        <v>0</v>
      </c>
      <c r="G113" s="62">
        <v>0</v>
      </c>
      <c r="H113" s="62">
        <v>400000</v>
      </c>
      <c r="I113" s="63" t="s">
        <v>307</v>
      </c>
    </row>
    <row r="114" spans="1:9" ht="24.75" customHeight="1">
      <c r="A114" s="810"/>
      <c r="B114" s="68">
        <v>40283</v>
      </c>
      <c r="C114" s="41" t="s">
        <v>308</v>
      </c>
      <c r="D114" s="61" t="s">
        <v>309</v>
      </c>
      <c r="E114" s="50" t="s">
        <v>12</v>
      </c>
      <c r="F114" s="62">
        <v>0</v>
      </c>
      <c r="G114" s="62">
        <v>0</v>
      </c>
      <c r="H114" s="62">
        <v>42000000</v>
      </c>
      <c r="I114" s="63" t="s">
        <v>310</v>
      </c>
    </row>
    <row r="115" spans="1:9" ht="24.75" customHeight="1">
      <c r="A115" s="810"/>
      <c r="B115" s="68">
        <v>40294</v>
      </c>
      <c r="C115" s="41" t="s">
        <v>311</v>
      </c>
      <c r="D115" s="61" t="s">
        <v>312</v>
      </c>
      <c r="E115" s="50" t="s">
        <v>12</v>
      </c>
      <c r="F115" s="62">
        <v>0</v>
      </c>
      <c r="G115" s="62">
        <v>0</v>
      </c>
      <c r="H115" s="62">
        <v>10409179.5</v>
      </c>
      <c r="I115" s="63" t="s">
        <v>313</v>
      </c>
    </row>
    <row r="116" spans="1:9" ht="24.75" customHeight="1">
      <c r="A116" s="810"/>
      <c r="B116" s="68">
        <v>40294</v>
      </c>
      <c r="C116" s="41" t="s">
        <v>314</v>
      </c>
      <c r="D116" s="61" t="s">
        <v>315</v>
      </c>
      <c r="E116" s="50" t="s">
        <v>12</v>
      </c>
      <c r="F116" s="62">
        <v>0</v>
      </c>
      <c r="G116" s="62">
        <v>0</v>
      </c>
      <c r="H116" s="62">
        <v>980000</v>
      </c>
      <c r="I116" s="63" t="s">
        <v>316</v>
      </c>
    </row>
    <row r="117" spans="1:9" ht="24.75" customHeight="1">
      <c r="A117" s="810"/>
      <c r="B117" s="68">
        <v>40294</v>
      </c>
      <c r="C117" s="41" t="s">
        <v>317</v>
      </c>
      <c r="D117" s="61" t="s">
        <v>318</v>
      </c>
      <c r="E117" s="50" t="s">
        <v>12</v>
      </c>
      <c r="F117" s="62">
        <v>944190</v>
      </c>
      <c r="G117" s="62">
        <v>944190</v>
      </c>
      <c r="H117" s="62">
        <v>0</v>
      </c>
      <c r="I117" s="63" t="s">
        <v>193</v>
      </c>
    </row>
    <row r="118" spans="1:9" ht="24.75" customHeight="1">
      <c r="A118" s="810"/>
      <c r="B118" s="68">
        <v>40294</v>
      </c>
      <c r="C118" s="41" t="s">
        <v>319</v>
      </c>
      <c r="D118" s="61" t="s">
        <v>320</v>
      </c>
      <c r="E118" s="50" t="s">
        <v>12</v>
      </c>
      <c r="F118" s="62">
        <v>0</v>
      </c>
      <c r="G118" s="62">
        <v>0</v>
      </c>
      <c r="H118" s="62">
        <v>137861</v>
      </c>
      <c r="I118" s="63" t="s">
        <v>321</v>
      </c>
    </row>
    <row r="119" spans="1:9" ht="24.75" customHeight="1">
      <c r="A119" s="810"/>
      <c r="B119" s="68">
        <v>40294</v>
      </c>
      <c r="C119" s="41" t="s">
        <v>322</v>
      </c>
      <c r="D119" s="61" t="s">
        <v>323</v>
      </c>
      <c r="E119" s="50" t="s">
        <v>12</v>
      </c>
      <c r="F119" s="62">
        <v>0</v>
      </c>
      <c r="G119" s="62">
        <v>0</v>
      </c>
      <c r="H119" s="62">
        <v>150000</v>
      </c>
      <c r="I119" s="63" t="s">
        <v>324</v>
      </c>
    </row>
    <row r="120" spans="1:9" ht="24.75" customHeight="1">
      <c r="A120" s="810"/>
      <c r="B120" s="68">
        <v>40294</v>
      </c>
      <c r="C120" s="41" t="s">
        <v>325</v>
      </c>
      <c r="D120" s="61" t="s">
        <v>326</v>
      </c>
      <c r="E120" s="50" t="s">
        <v>12</v>
      </c>
      <c r="F120" s="62">
        <v>0</v>
      </c>
      <c r="G120" s="62">
        <v>0</v>
      </c>
      <c r="H120" s="62">
        <v>2790792</v>
      </c>
      <c r="I120" s="63" t="s">
        <v>327</v>
      </c>
    </row>
    <row r="121" spans="1:9" ht="24.75" customHeight="1">
      <c r="A121" s="810"/>
      <c r="B121" s="69">
        <v>40294</v>
      </c>
      <c r="C121" s="13" t="s">
        <v>328</v>
      </c>
      <c r="D121" s="49" t="s">
        <v>329</v>
      </c>
      <c r="E121" s="14" t="s">
        <v>12</v>
      </c>
      <c r="F121" s="51">
        <v>0</v>
      </c>
      <c r="G121" s="51">
        <v>0</v>
      </c>
      <c r="H121" s="51">
        <v>50000</v>
      </c>
      <c r="I121" s="52" t="s">
        <v>330</v>
      </c>
    </row>
    <row r="122" spans="1:9" ht="24.75" customHeight="1">
      <c r="A122" s="810"/>
      <c r="B122" s="12">
        <v>40301</v>
      </c>
      <c r="C122" s="34" t="s">
        <v>331</v>
      </c>
      <c r="D122" s="34" t="s">
        <v>332</v>
      </c>
      <c r="E122" s="34" t="s">
        <v>12</v>
      </c>
      <c r="F122" s="35">
        <v>0</v>
      </c>
      <c r="G122" s="35">
        <v>0</v>
      </c>
      <c r="H122" s="47">
        <v>300000</v>
      </c>
      <c r="I122" s="48" t="s">
        <v>333</v>
      </c>
    </row>
    <row r="123" spans="1:9" ht="24.75" customHeight="1" thickBot="1">
      <c r="A123" s="811"/>
      <c r="B123" s="17">
        <v>40301</v>
      </c>
      <c r="C123" s="19" t="s">
        <v>334</v>
      </c>
      <c r="D123" s="19" t="s">
        <v>335</v>
      </c>
      <c r="E123" s="19" t="s">
        <v>12</v>
      </c>
      <c r="F123" s="20">
        <v>27638345</v>
      </c>
      <c r="G123" s="20">
        <v>27638345</v>
      </c>
      <c r="H123" s="54">
        <v>0</v>
      </c>
      <c r="I123" s="55" t="s">
        <v>336</v>
      </c>
    </row>
    <row r="124" spans="1:9" ht="24.75" customHeight="1" thickBot="1">
      <c r="A124" s="39"/>
      <c r="B124" s="3" t="s">
        <v>1</v>
      </c>
      <c r="C124" s="5" t="s">
        <v>2</v>
      </c>
      <c r="D124" s="44" t="s">
        <v>3</v>
      </c>
      <c r="E124" s="5" t="s">
        <v>4</v>
      </c>
      <c r="F124" s="30" t="s">
        <v>5</v>
      </c>
      <c r="G124" s="5" t="s">
        <v>6</v>
      </c>
      <c r="H124" s="5" t="s">
        <v>7</v>
      </c>
      <c r="I124" s="6" t="s">
        <v>8</v>
      </c>
    </row>
    <row r="125" spans="1:9" ht="24.75" customHeight="1">
      <c r="A125" s="809" t="s">
        <v>289</v>
      </c>
      <c r="B125" s="7">
        <v>40318</v>
      </c>
      <c r="C125" s="9" t="s">
        <v>337</v>
      </c>
      <c r="D125" s="9" t="s">
        <v>338</v>
      </c>
      <c r="E125" s="9" t="s">
        <v>12</v>
      </c>
      <c r="F125" s="10">
        <v>200000</v>
      </c>
      <c r="G125" s="10">
        <v>200000</v>
      </c>
      <c r="H125" s="70">
        <v>0</v>
      </c>
      <c r="I125" s="71" t="s">
        <v>339</v>
      </c>
    </row>
    <row r="126" spans="1:9" ht="24.75" customHeight="1">
      <c r="A126" s="810"/>
      <c r="B126" s="12">
        <v>40318</v>
      </c>
      <c r="C126" s="14" t="s">
        <v>340</v>
      </c>
      <c r="D126" s="14" t="s">
        <v>341</v>
      </c>
      <c r="E126" s="14" t="s">
        <v>12</v>
      </c>
      <c r="F126" s="15">
        <v>2025</v>
      </c>
      <c r="G126" s="15">
        <v>2025</v>
      </c>
      <c r="H126" s="51">
        <v>0</v>
      </c>
      <c r="I126" s="52" t="s">
        <v>342</v>
      </c>
    </row>
    <row r="127" spans="1:9" ht="24.75" customHeight="1">
      <c r="A127" s="810"/>
      <c r="B127" s="12">
        <v>40318</v>
      </c>
      <c r="C127" s="14" t="s">
        <v>343</v>
      </c>
      <c r="D127" s="14" t="s">
        <v>344</v>
      </c>
      <c r="E127" s="14" t="s">
        <v>12</v>
      </c>
      <c r="F127" s="15">
        <v>983854.97</v>
      </c>
      <c r="G127" s="15">
        <v>983854.97</v>
      </c>
      <c r="H127" s="51">
        <v>0</v>
      </c>
      <c r="I127" s="52" t="s">
        <v>181</v>
      </c>
    </row>
    <row r="128" spans="1:9" ht="24.75" customHeight="1">
      <c r="A128" s="810"/>
      <c r="B128" s="12">
        <v>40318</v>
      </c>
      <c r="C128" s="14" t="s">
        <v>345</v>
      </c>
      <c r="D128" s="14" t="s">
        <v>346</v>
      </c>
      <c r="E128" s="14" t="s">
        <v>12</v>
      </c>
      <c r="F128" s="15">
        <v>0</v>
      </c>
      <c r="G128" s="15">
        <v>0</v>
      </c>
      <c r="H128" s="51">
        <v>8000</v>
      </c>
      <c r="I128" s="52" t="s">
        <v>347</v>
      </c>
    </row>
    <row r="129" spans="1:9" ht="19.5" customHeight="1">
      <c r="A129" s="810"/>
      <c r="B129" s="12">
        <v>40318</v>
      </c>
      <c r="C129" s="14" t="s">
        <v>348</v>
      </c>
      <c r="D129" s="14" t="s">
        <v>349</v>
      </c>
      <c r="E129" s="14" t="s">
        <v>12</v>
      </c>
      <c r="F129" s="15">
        <v>28000</v>
      </c>
      <c r="G129" s="15">
        <v>28000</v>
      </c>
      <c r="H129" s="51">
        <v>0</v>
      </c>
      <c r="I129" s="52" t="s">
        <v>350</v>
      </c>
    </row>
    <row r="130" spans="1:9" ht="24.75" customHeight="1">
      <c r="A130" s="810"/>
      <c r="B130" s="12">
        <v>40318</v>
      </c>
      <c r="C130" s="14" t="s">
        <v>351</v>
      </c>
      <c r="D130" s="14" t="s">
        <v>352</v>
      </c>
      <c r="E130" s="14" t="s">
        <v>12</v>
      </c>
      <c r="F130" s="15">
        <v>2081385</v>
      </c>
      <c r="G130" s="15">
        <v>2081385</v>
      </c>
      <c r="H130" s="51">
        <v>0</v>
      </c>
      <c r="I130" s="52" t="s">
        <v>353</v>
      </c>
    </row>
    <row r="131" spans="1:9" ht="24.75" customHeight="1">
      <c r="A131" s="810"/>
      <c r="B131" s="12">
        <v>40318</v>
      </c>
      <c r="C131" s="14" t="s">
        <v>354</v>
      </c>
      <c r="D131" s="14" t="s">
        <v>355</v>
      </c>
      <c r="E131" s="14" t="s">
        <v>12</v>
      </c>
      <c r="F131" s="15">
        <v>0</v>
      </c>
      <c r="G131" s="15">
        <v>0</v>
      </c>
      <c r="H131" s="51">
        <v>150000</v>
      </c>
      <c r="I131" s="52" t="s">
        <v>356</v>
      </c>
    </row>
    <row r="132" spans="1:9" ht="24.75" customHeight="1">
      <c r="A132" s="810"/>
      <c r="B132" s="12">
        <v>40318</v>
      </c>
      <c r="C132" s="14" t="s">
        <v>357</v>
      </c>
      <c r="D132" s="14" t="s">
        <v>358</v>
      </c>
      <c r="E132" s="14" t="s">
        <v>12</v>
      </c>
      <c r="F132" s="15">
        <v>26626.61</v>
      </c>
      <c r="G132" s="15">
        <v>26626.61</v>
      </c>
      <c r="H132" s="51">
        <v>0</v>
      </c>
      <c r="I132" s="52" t="s">
        <v>359</v>
      </c>
    </row>
    <row r="133" spans="1:9" ht="24.75" customHeight="1">
      <c r="A133" s="810"/>
      <c r="B133" s="12">
        <v>40318</v>
      </c>
      <c r="C133" s="14" t="s">
        <v>360</v>
      </c>
      <c r="D133" s="14" t="s">
        <v>361</v>
      </c>
      <c r="E133" s="14" t="s">
        <v>12</v>
      </c>
      <c r="F133" s="15">
        <v>0</v>
      </c>
      <c r="G133" s="15">
        <v>0</v>
      </c>
      <c r="H133" s="51">
        <v>20000</v>
      </c>
      <c r="I133" s="52" t="s">
        <v>362</v>
      </c>
    </row>
    <row r="134" spans="1:9" ht="30.75" customHeight="1">
      <c r="A134" s="810"/>
      <c r="B134" s="12">
        <v>40318</v>
      </c>
      <c r="C134" s="14" t="s">
        <v>363</v>
      </c>
      <c r="D134" s="14" t="s">
        <v>364</v>
      </c>
      <c r="E134" s="14" t="s">
        <v>12</v>
      </c>
      <c r="F134" s="15">
        <v>0</v>
      </c>
      <c r="G134" s="15">
        <v>0</v>
      </c>
      <c r="H134" s="51">
        <v>200000</v>
      </c>
      <c r="I134" s="52" t="s">
        <v>365</v>
      </c>
    </row>
    <row r="135" spans="1:9" ht="31.5" customHeight="1">
      <c r="A135" s="810"/>
      <c r="B135" s="12">
        <v>40318</v>
      </c>
      <c r="C135" s="14" t="s">
        <v>366</v>
      </c>
      <c r="D135" s="14" t="s">
        <v>367</v>
      </c>
      <c r="E135" s="14" t="s">
        <v>12</v>
      </c>
      <c r="F135" s="15">
        <v>0</v>
      </c>
      <c r="G135" s="15">
        <v>0</v>
      </c>
      <c r="H135" s="51">
        <v>1760000</v>
      </c>
      <c r="I135" s="52" t="s">
        <v>368</v>
      </c>
    </row>
    <row r="136" spans="1:9" ht="24.75" customHeight="1">
      <c r="A136" s="810"/>
      <c r="B136" s="12">
        <v>40318</v>
      </c>
      <c r="C136" s="14" t="s">
        <v>369</v>
      </c>
      <c r="D136" s="14" t="s">
        <v>370</v>
      </c>
      <c r="E136" s="14" t="s">
        <v>12</v>
      </c>
      <c r="F136" s="15">
        <v>1970937.5</v>
      </c>
      <c r="G136" s="15">
        <v>1970937.5</v>
      </c>
      <c r="H136" s="51">
        <v>0</v>
      </c>
      <c r="I136" s="52" t="s">
        <v>371</v>
      </c>
    </row>
    <row r="137" spans="1:9" ht="24.75" customHeight="1">
      <c r="A137" s="810"/>
      <c r="B137" s="12">
        <v>40318</v>
      </c>
      <c r="C137" s="14" t="s">
        <v>372</v>
      </c>
      <c r="D137" s="14" t="s">
        <v>373</v>
      </c>
      <c r="E137" s="14" t="s">
        <v>12</v>
      </c>
      <c r="F137" s="15">
        <v>0</v>
      </c>
      <c r="G137" s="15">
        <v>0</v>
      </c>
      <c r="H137" s="51">
        <v>10000000</v>
      </c>
      <c r="I137" s="52" t="s">
        <v>374</v>
      </c>
    </row>
    <row r="138" spans="1:9" ht="30" customHeight="1">
      <c r="A138" s="810"/>
      <c r="B138" s="12">
        <v>40318</v>
      </c>
      <c r="C138" s="14" t="s">
        <v>375</v>
      </c>
      <c r="D138" s="14" t="s">
        <v>376</v>
      </c>
      <c r="E138" s="14" t="s">
        <v>12</v>
      </c>
      <c r="F138" s="15">
        <v>0</v>
      </c>
      <c r="G138" s="15">
        <v>0</v>
      </c>
      <c r="H138" s="51">
        <v>30000</v>
      </c>
      <c r="I138" s="52" t="s">
        <v>377</v>
      </c>
    </row>
    <row r="139" spans="1:9" ht="32.25" customHeight="1">
      <c r="A139" s="810"/>
      <c r="B139" s="12">
        <v>40318</v>
      </c>
      <c r="C139" s="14" t="s">
        <v>378</v>
      </c>
      <c r="D139" s="14" t="s">
        <v>379</v>
      </c>
      <c r="E139" s="14" t="s">
        <v>12</v>
      </c>
      <c r="F139" s="15">
        <v>3848885.58</v>
      </c>
      <c r="G139" s="15">
        <v>3848885.58</v>
      </c>
      <c r="H139" s="51">
        <v>0</v>
      </c>
      <c r="I139" s="52" t="s">
        <v>380</v>
      </c>
    </row>
    <row r="140" spans="1:9" ht="15.75" customHeight="1">
      <c r="A140" s="810"/>
      <c r="B140" s="12">
        <v>40318</v>
      </c>
      <c r="C140" s="14" t="s">
        <v>381</v>
      </c>
      <c r="D140" s="14" t="s">
        <v>382</v>
      </c>
      <c r="E140" s="14" t="s">
        <v>12</v>
      </c>
      <c r="F140" s="15">
        <v>240000</v>
      </c>
      <c r="G140" s="15">
        <v>240000</v>
      </c>
      <c r="H140" s="51">
        <v>0</v>
      </c>
      <c r="I140" s="52" t="s">
        <v>383</v>
      </c>
    </row>
    <row r="141" spans="1:9" ht="33" customHeight="1" thickBot="1">
      <c r="A141" s="811"/>
      <c r="B141" s="17">
        <v>40318</v>
      </c>
      <c r="C141" s="19" t="s">
        <v>384</v>
      </c>
      <c r="D141" s="19" t="s">
        <v>385</v>
      </c>
      <c r="E141" s="19" t="s">
        <v>12</v>
      </c>
      <c r="F141" s="20">
        <v>0</v>
      </c>
      <c r="G141" s="20">
        <v>0</v>
      </c>
      <c r="H141" s="54">
        <v>1869824</v>
      </c>
      <c r="I141" s="55" t="s">
        <v>386</v>
      </c>
    </row>
    <row r="142" spans="1:9" ht="24.75" customHeight="1" thickBot="1">
      <c r="A142" s="39"/>
      <c r="B142" s="72" t="s">
        <v>1</v>
      </c>
      <c r="C142" s="4" t="s">
        <v>2</v>
      </c>
      <c r="D142" s="73" t="s">
        <v>3</v>
      </c>
      <c r="E142" s="4" t="s">
        <v>4</v>
      </c>
      <c r="F142" s="74" t="s">
        <v>5</v>
      </c>
      <c r="G142" s="4" t="s">
        <v>6</v>
      </c>
      <c r="H142" s="4" t="s">
        <v>7</v>
      </c>
      <c r="I142" s="75" t="s">
        <v>8</v>
      </c>
    </row>
    <row r="143" spans="1:9" ht="24.75" customHeight="1">
      <c r="A143" s="809" t="s">
        <v>289</v>
      </c>
      <c r="B143" s="7">
        <v>40318</v>
      </c>
      <c r="C143" s="9" t="s">
        <v>387</v>
      </c>
      <c r="D143" s="9" t="s">
        <v>388</v>
      </c>
      <c r="E143" s="9" t="s">
        <v>12</v>
      </c>
      <c r="F143" s="10">
        <v>0</v>
      </c>
      <c r="G143" s="10">
        <v>0</v>
      </c>
      <c r="H143" s="70">
        <v>429000</v>
      </c>
      <c r="I143" s="71" t="s">
        <v>389</v>
      </c>
    </row>
    <row r="144" spans="1:9" ht="36" customHeight="1">
      <c r="A144" s="810"/>
      <c r="B144" s="12">
        <v>40318</v>
      </c>
      <c r="C144" s="14" t="s">
        <v>390</v>
      </c>
      <c r="D144" s="14" t="s">
        <v>391</v>
      </c>
      <c r="E144" s="14" t="s">
        <v>12</v>
      </c>
      <c r="F144" s="15">
        <v>0</v>
      </c>
      <c r="G144" s="15">
        <v>0</v>
      </c>
      <c r="H144" s="51">
        <v>260000</v>
      </c>
      <c r="I144" s="52" t="s">
        <v>392</v>
      </c>
    </row>
    <row r="145" spans="1:9" ht="24.75" customHeight="1">
      <c r="A145" s="810"/>
      <c r="B145" s="12">
        <v>40318</v>
      </c>
      <c r="C145" s="14" t="s">
        <v>393</v>
      </c>
      <c r="D145" s="14" t="s">
        <v>394</v>
      </c>
      <c r="E145" s="14" t="s">
        <v>12</v>
      </c>
      <c r="F145" s="15">
        <v>0</v>
      </c>
      <c r="G145" s="15">
        <v>0</v>
      </c>
      <c r="H145" s="51">
        <v>400000</v>
      </c>
      <c r="I145" s="52" t="s">
        <v>395</v>
      </c>
    </row>
    <row r="146" spans="1:9" ht="24.75" customHeight="1">
      <c r="A146" s="810"/>
      <c r="B146" s="12">
        <v>40318</v>
      </c>
      <c r="C146" s="14" t="s">
        <v>396</v>
      </c>
      <c r="D146" s="14" t="s">
        <v>397</v>
      </c>
      <c r="E146" s="14" t="s">
        <v>12</v>
      </c>
      <c r="F146" s="15">
        <v>0</v>
      </c>
      <c r="G146" s="15">
        <v>0</v>
      </c>
      <c r="H146" s="51">
        <v>1400000</v>
      </c>
      <c r="I146" s="52" t="s">
        <v>398</v>
      </c>
    </row>
    <row r="147" spans="1:9" ht="24.75" customHeight="1">
      <c r="A147" s="810"/>
      <c r="B147" s="12">
        <v>40318</v>
      </c>
      <c r="C147" s="14" t="s">
        <v>399</v>
      </c>
      <c r="D147" s="14" t="s">
        <v>400</v>
      </c>
      <c r="E147" s="14" t="s">
        <v>12</v>
      </c>
      <c r="F147" s="15">
        <v>4318000</v>
      </c>
      <c r="G147" s="15">
        <v>4318000</v>
      </c>
      <c r="H147" s="51">
        <v>0</v>
      </c>
      <c r="I147" s="52" t="s">
        <v>401</v>
      </c>
    </row>
    <row r="148" spans="1:9" ht="24.75" customHeight="1">
      <c r="A148" s="810"/>
      <c r="B148" s="12">
        <v>40318</v>
      </c>
      <c r="C148" s="14" t="s">
        <v>402</v>
      </c>
      <c r="D148" s="14" t="s">
        <v>403</v>
      </c>
      <c r="E148" s="14" t="s">
        <v>12</v>
      </c>
      <c r="F148" s="15">
        <v>15762.47</v>
      </c>
      <c r="G148" s="15">
        <v>15762.47</v>
      </c>
      <c r="H148" s="51">
        <v>0</v>
      </c>
      <c r="I148" s="52" t="s">
        <v>404</v>
      </c>
    </row>
    <row r="149" spans="1:9" ht="30" customHeight="1">
      <c r="A149" s="810"/>
      <c r="B149" s="12">
        <v>40329</v>
      </c>
      <c r="C149" s="14" t="s">
        <v>405</v>
      </c>
      <c r="D149" s="14" t="s">
        <v>406</v>
      </c>
      <c r="E149" s="14" t="s">
        <v>12</v>
      </c>
      <c r="F149" s="15">
        <v>0</v>
      </c>
      <c r="G149" s="15">
        <v>0</v>
      </c>
      <c r="H149" s="51">
        <v>1000</v>
      </c>
      <c r="I149" s="52" t="s">
        <v>407</v>
      </c>
    </row>
    <row r="150" spans="1:9" ht="24.75" customHeight="1">
      <c r="A150" s="810"/>
      <c r="B150" s="12">
        <v>40329</v>
      </c>
      <c r="C150" s="14" t="s">
        <v>408</v>
      </c>
      <c r="D150" s="14" t="s">
        <v>409</v>
      </c>
      <c r="E150" s="14" t="s">
        <v>12</v>
      </c>
      <c r="F150" s="15">
        <v>0</v>
      </c>
      <c r="G150" s="15">
        <v>0</v>
      </c>
      <c r="H150" s="51">
        <v>11830</v>
      </c>
      <c r="I150" s="52" t="s">
        <v>410</v>
      </c>
    </row>
    <row r="151" spans="1:9" ht="24.75" customHeight="1">
      <c r="A151" s="810"/>
      <c r="B151" s="12">
        <v>40329</v>
      </c>
      <c r="C151" s="14" t="s">
        <v>411</v>
      </c>
      <c r="D151" s="14" t="s">
        <v>412</v>
      </c>
      <c r="E151" s="14" t="s">
        <v>12</v>
      </c>
      <c r="F151" s="15">
        <v>0</v>
      </c>
      <c r="G151" s="15">
        <v>0</v>
      </c>
      <c r="H151" s="51">
        <v>2000000</v>
      </c>
      <c r="I151" s="52" t="s">
        <v>413</v>
      </c>
    </row>
    <row r="152" spans="1:9" ht="24.75" customHeight="1">
      <c r="A152" s="810"/>
      <c r="B152" s="12">
        <v>40329</v>
      </c>
      <c r="C152" s="14" t="s">
        <v>414</v>
      </c>
      <c r="D152" s="14" t="s">
        <v>415</v>
      </c>
      <c r="E152" s="14" t="s">
        <v>12</v>
      </c>
      <c r="F152" s="15">
        <v>52293.66</v>
      </c>
      <c r="G152" s="15">
        <v>52293.66</v>
      </c>
      <c r="H152" s="51">
        <v>0</v>
      </c>
      <c r="I152" s="52" t="s">
        <v>416</v>
      </c>
    </row>
    <row r="153" spans="1:9" ht="24.75" customHeight="1">
      <c r="A153" s="810"/>
      <c r="B153" s="12">
        <v>40329</v>
      </c>
      <c r="C153" s="14" t="s">
        <v>417</v>
      </c>
      <c r="D153" s="14" t="s">
        <v>418</v>
      </c>
      <c r="E153" s="14" t="s">
        <v>12</v>
      </c>
      <c r="F153" s="15">
        <v>931050</v>
      </c>
      <c r="G153" s="15">
        <v>931050</v>
      </c>
      <c r="H153" s="51">
        <v>0</v>
      </c>
      <c r="I153" s="52" t="s">
        <v>419</v>
      </c>
    </row>
    <row r="154" spans="1:9" ht="24.75" customHeight="1">
      <c r="A154" s="810"/>
      <c r="B154" s="12">
        <v>40336</v>
      </c>
      <c r="C154" s="14" t="s">
        <v>420</v>
      </c>
      <c r="D154" s="14" t="s">
        <v>421</v>
      </c>
      <c r="E154" s="14" t="s">
        <v>12</v>
      </c>
      <c r="F154" s="15">
        <v>0</v>
      </c>
      <c r="G154" s="15">
        <v>0</v>
      </c>
      <c r="H154" s="51">
        <v>3000000</v>
      </c>
      <c r="I154" s="52" t="s">
        <v>422</v>
      </c>
    </row>
    <row r="155" spans="1:9" ht="24.75" customHeight="1">
      <c r="A155" s="810"/>
      <c r="B155" s="12">
        <v>40346</v>
      </c>
      <c r="C155" s="14" t="s">
        <v>423</v>
      </c>
      <c r="D155" s="14" t="s">
        <v>424</v>
      </c>
      <c r="E155" s="14" t="s">
        <v>12</v>
      </c>
      <c r="F155" s="15">
        <v>0</v>
      </c>
      <c r="G155" s="15">
        <v>0</v>
      </c>
      <c r="H155" s="51">
        <v>165030</v>
      </c>
      <c r="I155" s="52" t="s">
        <v>425</v>
      </c>
    </row>
    <row r="156" spans="1:9" ht="24.75" customHeight="1">
      <c r="A156" s="810"/>
      <c r="B156" s="12">
        <v>40346</v>
      </c>
      <c r="C156" s="14" t="s">
        <v>426</v>
      </c>
      <c r="D156" s="14" t="s">
        <v>427</v>
      </c>
      <c r="E156" s="14" t="s">
        <v>12</v>
      </c>
      <c r="F156" s="15">
        <v>10900</v>
      </c>
      <c r="G156" s="15">
        <v>10900</v>
      </c>
      <c r="H156" s="51">
        <v>0</v>
      </c>
      <c r="I156" s="52" t="s">
        <v>342</v>
      </c>
    </row>
    <row r="157" spans="1:9" ht="15.75" customHeight="1">
      <c r="A157" s="810"/>
      <c r="B157" s="12">
        <v>40346</v>
      </c>
      <c r="C157" s="14" t="s">
        <v>428</v>
      </c>
      <c r="D157" s="14" t="s">
        <v>429</v>
      </c>
      <c r="E157" s="14" t="s">
        <v>12</v>
      </c>
      <c r="F157" s="15">
        <v>0</v>
      </c>
      <c r="G157" s="15">
        <v>0</v>
      </c>
      <c r="H157" s="51">
        <v>600000</v>
      </c>
      <c r="I157" s="52" t="s">
        <v>430</v>
      </c>
    </row>
    <row r="158" spans="1:9" ht="15.75" customHeight="1">
      <c r="A158" s="810"/>
      <c r="B158" s="12">
        <v>40346</v>
      </c>
      <c r="C158" s="14" t="s">
        <v>431</v>
      </c>
      <c r="D158" s="14" t="s">
        <v>432</v>
      </c>
      <c r="E158" s="14" t="s">
        <v>12</v>
      </c>
      <c r="F158" s="15">
        <v>165000</v>
      </c>
      <c r="G158" s="15">
        <v>165000</v>
      </c>
      <c r="H158" s="51">
        <v>0</v>
      </c>
      <c r="I158" s="76" t="s">
        <v>433</v>
      </c>
    </row>
    <row r="159" spans="1:9" ht="24.75" customHeight="1" thickBot="1">
      <c r="A159" s="811"/>
      <c r="B159" s="17">
        <v>40346</v>
      </c>
      <c r="C159" s="19" t="s">
        <v>434</v>
      </c>
      <c r="D159" s="19" t="s">
        <v>435</v>
      </c>
      <c r="E159" s="19" t="s">
        <v>12</v>
      </c>
      <c r="F159" s="20">
        <v>0</v>
      </c>
      <c r="G159" s="20">
        <v>0</v>
      </c>
      <c r="H159" s="54">
        <v>3496416</v>
      </c>
      <c r="I159" s="55" t="s">
        <v>436</v>
      </c>
    </row>
    <row r="160" spans="1:9" ht="24.75" customHeight="1" thickBot="1">
      <c r="A160" s="39"/>
      <c r="B160" s="72" t="s">
        <v>1</v>
      </c>
      <c r="C160" s="4" t="s">
        <v>2</v>
      </c>
      <c r="D160" s="73" t="s">
        <v>3</v>
      </c>
      <c r="E160" s="4" t="s">
        <v>4</v>
      </c>
      <c r="F160" s="74" t="s">
        <v>5</v>
      </c>
      <c r="G160" s="4" t="s">
        <v>6</v>
      </c>
      <c r="H160" s="4" t="s">
        <v>7</v>
      </c>
      <c r="I160" s="75" t="s">
        <v>8</v>
      </c>
    </row>
    <row r="161" spans="1:9" ht="30.75" customHeight="1">
      <c r="A161" s="815" t="s">
        <v>289</v>
      </c>
      <c r="B161" s="7">
        <v>40346</v>
      </c>
      <c r="C161" s="9" t="s">
        <v>437</v>
      </c>
      <c r="D161" s="9" t="s">
        <v>438</v>
      </c>
      <c r="E161" s="9" t="s">
        <v>12</v>
      </c>
      <c r="F161" s="10">
        <v>0</v>
      </c>
      <c r="G161" s="10">
        <v>0</v>
      </c>
      <c r="H161" s="70">
        <v>390752</v>
      </c>
      <c r="I161" s="71" t="s">
        <v>439</v>
      </c>
    </row>
    <row r="162" spans="1:9" ht="24.75" customHeight="1">
      <c r="A162" s="816"/>
      <c r="B162" s="12">
        <v>40346</v>
      </c>
      <c r="C162" s="14" t="s">
        <v>440</v>
      </c>
      <c r="D162" s="14" t="s">
        <v>441</v>
      </c>
      <c r="E162" s="14" t="s">
        <v>12</v>
      </c>
      <c r="F162" s="15">
        <v>0</v>
      </c>
      <c r="G162" s="15">
        <v>0</v>
      </c>
      <c r="H162" s="51">
        <v>140000</v>
      </c>
      <c r="I162" s="52" t="s">
        <v>442</v>
      </c>
    </row>
    <row r="163" spans="1:9" ht="24.75" customHeight="1">
      <c r="A163" s="816"/>
      <c r="B163" s="12">
        <v>40346</v>
      </c>
      <c r="C163" s="14" t="s">
        <v>443</v>
      </c>
      <c r="D163" s="14" t="s">
        <v>444</v>
      </c>
      <c r="E163" s="14" t="s">
        <v>12</v>
      </c>
      <c r="F163" s="15">
        <v>0</v>
      </c>
      <c r="G163" s="15">
        <v>0</v>
      </c>
      <c r="H163" s="51">
        <v>800000</v>
      </c>
      <c r="I163" s="52" t="s">
        <v>445</v>
      </c>
    </row>
    <row r="164" spans="1:9" ht="24.75" customHeight="1">
      <c r="A164" s="816"/>
      <c r="B164" s="12">
        <v>40346</v>
      </c>
      <c r="C164" s="14" t="s">
        <v>446</v>
      </c>
      <c r="D164" s="14" t="s">
        <v>447</v>
      </c>
      <c r="E164" s="14" t="s">
        <v>12</v>
      </c>
      <c r="F164" s="15">
        <v>26116.720000000001</v>
      </c>
      <c r="G164" s="15">
        <v>26116.720000000001</v>
      </c>
      <c r="H164" s="51">
        <v>0</v>
      </c>
      <c r="I164" s="52" t="s">
        <v>448</v>
      </c>
    </row>
    <row r="165" spans="1:9" ht="30" customHeight="1">
      <c r="A165" s="816"/>
      <c r="B165" s="12">
        <v>40346</v>
      </c>
      <c r="C165" s="14" t="s">
        <v>449</v>
      </c>
      <c r="D165" s="14" t="s">
        <v>450</v>
      </c>
      <c r="E165" s="14" t="s">
        <v>12</v>
      </c>
      <c r="F165" s="15">
        <v>227000</v>
      </c>
      <c r="G165" s="15">
        <v>227000</v>
      </c>
      <c r="H165" s="51">
        <v>0</v>
      </c>
      <c r="I165" s="52" t="s">
        <v>451</v>
      </c>
    </row>
    <row r="166" spans="1:9" ht="24.75" customHeight="1">
      <c r="A166" s="816"/>
      <c r="B166" s="12">
        <v>40346</v>
      </c>
      <c r="C166" s="14" t="s">
        <v>452</v>
      </c>
      <c r="D166" s="14" t="s">
        <v>453</v>
      </c>
      <c r="E166" s="14" t="s">
        <v>12</v>
      </c>
      <c r="F166" s="15">
        <v>0</v>
      </c>
      <c r="G166" s="15">
        <v>0</v>
      </c>
      <c r="H166" s="51">
        <v>19280000</v>
      </c>
      <c r="I166" s="52" t="s">
        <v>454</v>
      </c>
    </row>
    <row r="167" spans="1:9" ht="30" customHeight="1">
      <c r="A167" s="816"/>
      <c r="B167" s="12">
        <v>40346</v>
      </c>
      <c r="C167" s="14" t="s">
        <v>455</v>
      </c>
      <c r="D167" s="14" t="s">
        <v>456</v>
      </c>
      <c r="E167" s="14" t="s">
        <v>12</v>
      </c>
      <c r="F167" s="15">
        <v>0</v>
      </c>
      <c r="G167" s="15">
        <v>0</v>
      </c>
      <c r="H167" s="51">
        <v>4000000</v>
      </c>
      <c r="I167" s="52" t="s">
        <v>457</v>
      </c>
    </row>
    <row r="168" spans="1:9" ht="33.75" customHeight="1">
      <c r="A168" s="816"/>
      <c r="B168" s="12">
        <v>40346</v>
      </c>
      <c r="C168" s="14" t="s">
        <v>458</v>
      </c>
      <c r="D168" s="14" t="s">
        <v>459</v>
      </c>
      <c r="E168" s="14" t="s">
        <v>12</v>
      </c>
      <c r="F168" s="15">
        <v>0</v>
      </c>
      <c r="G168" s="15">
        <v>0</v>
      </c>
      <c r="H168" s="51">
        <v>3262300</v>
      </c>
      <c r="I168" s="52" t="s">
        <v>460</v>
      </c>
    </row>
    <row r="169" spans="1:9" ht="24.75" customHeight="1">
      <c r="A169" s="816"/>
      <c r="B169" s="12">
        <v>40346</v>
      </c>
      <c r="C169" s="14" t="s">
        <v>461</v>
      </c>
      <c r="D169" s="14" t="s">
        <v>462</v>
      </c>
      <c r="E169" s="14" t="s">
        <v>12</v>
      </c>
      <c r="F169" s="15">
        <v>0</v>
      </c>
      <c r="G169" s="15">
        <v>0</v>
      </c>
      <c r="H169" s="51">
        <v>5000000</v>
      </c>
      <c r="I169" s="52" t="s">
        <v>463</v>
      </c>
    </row>
    <row r="170" spans="1:9" ht="24.75" customHeight="1">
      <c r="A170" s="816"/>
      <c r="B170" s="12">
        <v>40346</v>
      </c>
      <c r="C170" s="14" t="s">
        <v>464</v>
      </c>
      <c r="D170" s="14" t="s">
        <v>465</v>
      </c>
      <c r="E170" s="14" t="s">
        <v>12</v>
      </c>
      <c r="F170" s="15">
        <v>0</v>
      </c>
      <c r="G170" s="15">
        <v>0</v>
      </c>
      <c r="H170" s="51">
        <v>50000</v>
      </c>
      <c r="I170" s="52" t="s">
        <v>466</v>
      </c>
    </row>
    <row r="171" spans="1:9" ht="32.25" customHeight="1">
      <c r="A171" s="816"/>
      <c r="B171" s="12">
        <v>40346</v>
      </c>
      <c r="C171" s="14" t="s">
        <v>467</v>
      </c>
      <c r="D171" s="14" t="s">
        <v>468</v>
      </c>
      <c r="E171" s="14" t="s">
        <v>12</v>
      </c>
      <c r="F171" s="15">
        <v>486000</v>
      </c>
      <c r="G171" s="15">
        <v>486000</v>
      </c>
      <c r="H171" s="51">
        <v>0</v>
      </c>
      <c r="I171" s="52" t="s">
        <v>469</v>
      </c>
    </row>
    <row r="172" spans="1:9" ht="24.75" customHeight="1">
      <c r="A172" s="816"/>
      <c r="B172" s="12">
        <v>40346</v>
      </c>
      <c r="C172" s="14" t="s">
        <v>470</v>
      </c>
      <c r="D172" s="14" t="s">
        <v>471</v>
      </c>
      <c r="E172" s="14" t="s">
        <v>12</v>
      </c>
      <c r="F172" s="15">
        <v>969120</v>
      </c>
      <c r="G172" s="15">
        <v>969120</v>
      </c>
      <c r="H172" s="51">
        <v>0</v>
      </c>
      <c r="I172" s="52" t="s">
        <v>419</v>
      </c>
    </row>
    <row r="173" spans="1:9" ht="30.75" customHeight="1">
      <c r="A173" s="816"/>
      <c r="B173" s="12">
        <v>40346</v>
      </c>
      <c r="C173" s="14" t="s">
        <v>472</v>
      </c>
      <c r="D173" s="14" t="s">
        <v>473</v>
      </c>
      <c r="E173" s="14" t="s">
        <v>12</v>
      </c>
      <c r="F173" s="15">
        <v>0</v>
      </c>
      <c r="G173" s="15">
        <v>0</v>
      </c>
      <c r="H173" s="51">
        <v>60000</v>
      </c>
      <c r="I173" s="52" t="s">
        <v>474</v>
      </c>
    </row>
    <row r="174" spans="1:9" ht="24.75" customHeight="1">
      <c r="A174" s="816"/>
      <c r="B174" s="12">
        <v>40346</v>
      </c>
      <c r="C174" s="14" t="s">
        <v>475</v>
      </c>
      <c r="D174" s="14" t="s">
        <v>476</v>
      </c>
      <c r="E174" s="14" t="s">
        <v>12</v>
      </c>
      <c r="F174" s="15">
        <v>0</v>
      </c>
      <c r="G174" s="15">
        <v>27950000</v>
      </c>
      <c r="H174" s="51">
        <v>0</v>
      </c>
      <c r="I174" s="52" t="s">
        <v>477</v>
      </c>
    </row>
    <row r="175" spans="1:9" ht="51.75" customHeight="1" thickBot="1">
      <c r="A175" s="817"/>
      <c r="B175" s="17">
        <v>40346</v>
      </c>
      <c r="C175" s="19" t="s">
        <v>478</v>
      </c>
      <c r="D175" s="19" t="s">
        <v>479</v>
      </c>
      <c r="E175" s="19" t="s">
        <v>12</v>
      </c>
      <c r="F175" s="20">
        <v>371804.4</v>
      </c>
      <c r="G175" s="20">
        <v>371804.4</v>
      </c>
      <c r="H175" s="54">
        <v>0</v>
      </c>
      <c r="I175" s="55" t="s">
        <v>480</v>
      </c>
    </row>
    <row r="176" spans="1:9" ht="24.75" customHeight="1" thickBot="1">
      <c r="A176" s="39"/>
      <c r="B176" s="72" t="s">
        <v>1</v>
      </c>
      <c r="C176" s="4" t="s">
        <v>2</v>
      </c>
      <c r="D176" s="73" t="s">
        <v>3</v>
      </c>
      <c r="E176" s="4" t="s">
        <v>4</v>
      </c>
      <c r="F176" s="74" t="s">
        <v>5</v>
      </c>
      <c r="G176" s="4" t="s">
        <v>6</v>
      </c>
      <c r="H176" s="4" t="s">
        <v>7</v>
      </c>
      <c r="I176" s="75" t="s">
        <v>8</v>
      </c>
    </row>
    <row r="177" spans="1:9" ht="24.75" customHeight="1">
      <c r="A177" s="809" t="s">
        <v>289</v>
      </c>
      <c r="B177" s="7">
        <v>40346</v>
      </c>
      <c r="C177" s="9" t="s">
        <v>481</v>
      </c>
      <c r="D177" s="9" t="s">
        <v>482</v>
      </c>
      <c r="E177" s="9" t="s">
        <v>12</v>
      </c>
      <c r="F177" s="10">
        <v>0</v>
      </c>
      <c r="G177" s="10">
        <v>150000000</v>
      </c>
      <c r="H177" s="70">
        <v>0</v>
      </c>
      <c r="I177" s="71" t="s">
        <v>483</v>
      </c>
    </row>
    <row r="178" spans="1:9" ht="33.75" customHeight="1">
      <c r="A178" s="810"/>
      <c r="B178" s="12">
        <v>40346</v>
      </c>
      <c r="C178" s="14" t="s">
        <v>484</v>
      </c>
      <c r="D178" s="14" t="s">
        <v>485</v>
      </c>
      <c r="E178" s="14" t="s">
        <v>12</v>
      </c>
      <c r="F178" s="15">
        <v>0</v>
      </c>
      <c r="G178" s="15">
        <v>0</v>
      </c>
      <c r="H178" s="51">
        <v>60000</v>
      </c>
      <c r="I178" s="52" t="s">
        <v>486</v>
      </c>
    </row>
    <row r="179" spans="1:9" ht="33.75" customHeight="1">
      <c r="A179" s="810"/>
      <c r="B179" s="40">
        <v>40346</v>
      </c>
      <c r="C179" s="50" t="s">
        <v>487</v>
      </c>
      <c r="D179" s="50" t="s">
        <v>488</v>
      </c>
      <c r="E179" s="50" t="s">
        <v>12</v>
      </c>
      <c r="F179" s="77">
        <v>0</v>
      </c>
      <c r="G179" s="77">
        <v>8500000</v>
      </c>
      <c r="H179" s="62">
        <v>0</v>
      </c>
      <c r="I179" s="63" t="s">
        <v>489</v>
      </c>
    </row>
    <row r="180" spans="1:9" ht="24.75" customHeight="1">
      <c r="A180" s="810"/>
      <c r="B180" s="12">
        <v>40367</v>
      </c>
      <c r="C180" s="14" t="s">
        <v>490</v>
      </c>
      <c r="D180" s="14" t="s">
        <v>491</v>
      </c>
      <c r="E180" s="14" t="s">
        <v>12</v>
      </c>
      <c r="F180" s="15">
        <v>0</v>
      </c>
      <c r="G180" s="15">
        <v>0</v>
      </c>
      <c r="H180" s="51">
        <v>10099561.17</v>
      </c>
      <c r="I180" s="52" t="s">
        <v>492</v>
      </c>
    </row>
    <row r="181" spans="1:9" ht="24.75" customHeight="1">
      <c r="A181" s="810"/>
      <c r="B181" s="12">
        <v>40367</v>
      </c>
      <c r="C181" s="14" t="s">
        <v>493</v>
      </c>
      <c r="D181" s="14" t="s">
        <v>494</v>
      </c>
      <c r="E181" s="14" t="s">
        <v>12</v>
      </c>
      <c r="F181" s="15">
        <v>0</v>
      </c>
      <c r="G181" s="15">
        <v>0</v>
      </c>
      <c r="H181" s="51">
        <v>2278709.7999999998</v>
      </c>
      <c r="I181" s="52" t="s">
        <v>495</v>
      </c>
    </row>
    <row r="182" spans="1:9" ht="24.75" customHeight="1">
      <c r="A182" s="810"/>
      <c r="B182" s="12">
        <v>40367</v>
      </c>
      <c r="C182" s="14" t="s">
        <v>496</v>
      </c>
      <c r="D182" s="14" t="s">
        <v>497</v>
      </c>
      <c r="E182" s="14" t="s">
        <v>12</v>
      </c>
      <c r="F182" s="15">
        <v>0</v>
      </c>
      <c r="G182" s="15">
        <v>0</v>
      </c>
      <c r="H182" s="51">
        <v>64788</v>
      </c>
      <c r="I182" s="52" t="s">
        <v>498</v>
      </c>
    </row>
    <row r="183" spans="1:9" ht="24.75" customHeight="1">
      <c r="A183" s="810"/>
      <c r="B183" s="12">
        <v>40367</v>
      </c>
      <c r="C183" s="14" t="s">
        <v>499</v>
      </c>
      <c r="D183" s="14" t="s">
        <v>500</v>
      </c>
      <c r="E183" s="14" t="s">
        <v>12</v>
      </c>
      <c r="F183" s="15">
        <v>1121500</v>
      </c>
      <c r="G183" s="15">
        <v>1121500</v>
      </c>
      <c r="H183" s="51">
        <v>0</v>
      </c>
      <c r="I183" s="52" t="s">
        <v>501</v>
      </c>
    </row>
    <row r="184" spans="1:9" ht="24.75" customHeight="1">
      <c r="A184" s="810"/>
      <c r="B184" s="12">
        <v>40367</v>
      </c>
      <c r="C184" s="14" t="s">
        <v>502</v>
      </c>
      <c r="D184" s="14" t="s">
        <v>503</v>
      </c>
      <c r="E184" s="14" t="s">
        <v>12</v>
      </c>
      <c r="F184" s="15">
        <v>44000</v>
      </c>
      <c r="G184" s="15">
        <v>44000</v>
      </c>
      <c r="H184" s="51">
        <v>0</v>
      </c>
      <c r="I184" s="52" t="s">
        <v>504</v>
      </c>
    </row>
    <row r="185" spans="1:9" ht="17.25" customHeight="1">
      <c r="A185" s="810"/>
      <c r="B185" s="12">
        <v>40367</v>
      </c>
      <c r="C185" s="14" t="s">
        <v>505</v>
      </c>
      <c r="D185" s="14" t="s">
        <v>506</v>
      </c>
      <c r="E185" s="14" t="s">
        <v>12</v>
      </c>
      <c r="F185" s="15">
        <v>210000</v>
      </c>
      <c r="G185" s="15">
        <v>210000</v>
      </c>
      <c r="H185" s="51">
        <v>0</v>
      </c>
      <c r="I185" s="52" t="s">
        <v>383</v>
      </c>
    </row>
    <row r="186" spans="1:9" ht="24.75" customHeight="1">
      <c r="A186" s="810"/>
      <c r="B186" s="12">
        <v>40367</v>
      </c>
      <c r="C186" s="14" t="s">
        <v>507</v>
      </c>
      <c r="D186" s="14" t="s">
        <v>508</v>
      </c>
      <c r="E186" s="14" t="s">
        <v>12</v>
      </c>
      <c r="F186" s="15">
        <v>0</v>
      </c>
      <c r="G186" s="15">
        <v>0</v>
      </c>
      <c r="H186" s="51">
        <v>13500000</v>
      </c>
      <c r="I186" s="52" t="s">
        <v>509</v>
      </c>
    </row>
    <row r="187" spans="1:9" ht="33.75" customHeight="1">
      <c r="A187" s="810"/>
      <c r="B187" s="12">
        <v>40367</v>
      </c>
      <c r="C187" s="14" t="s">
        <v>510</v>
      </c>
      <c r="D187" s="14" t="s">
        <v>511</v>
      </c>
      <c r="E187" s="14" t="s">
        <v>12</v>
      </c>
      <c r="F187" s="15">
        <v>0</v>
      </c>
      <c r="G187" s="15">
        <v>70000000</v>
      </c>
      <c r="H187" s="51">
        <v>0</v>
      </c>
      <c r="I187" s="52" t="s">
        <v>512</v>
      </c>
    </row>
    <row r="188" spans="1:9" ht="24.75" customHeight="1">
      <c r="A188" s="810"/>
      <c r="B188" s="12">
        <v>40367</v>
      </c>
      <c r="C188" s="14" t="s">
        <v>513</v>
      </c>
      <c r="D188" s="14" t="s">
        <v>514</v>
      </c>
      <c r="E188" s="14" t="s">
        <v>12</v>
      </c>
      <c r="F188" s="15">
        <v>0</v>
      </c>
      <c r="G188" s="15">
        <v>0</v>
      </c>
      <c r="H188" s="51">
        <v>22476000</v>
      </c>
      <c r="I188" s="52" t="s">
        <v>515</v>
      </c>
    </row>
    <row r="189" spans="1:9" ht="24.75" customHeight="1">
      <c r="A189" s="810"/>
      <c r="B189" s="12">
        <v>40367</v>
      </c>
      <c r="C189" s="14" t="s">
        <v>516</v>
      </c>
      <c r="D189" s="14" t="s">
        <v>517</v>
      </c>
      <c r="E189" s="14" t="s">
        <v>12</v>
      </c>
      <c r="F189" s="15">
        <v>0</v>
      </c>
      <c r="G189" s="15">
        <v>0</v>
      </c>
      <c r="H189" s="51">
        <v>200000</v>
      </c>
      <c r="I189" s="52" t="s">
        <v>518</v>
      </c>
    </row>
    <row r="190" spans="1:9" ht="17.25" customHeight="1">
      <c r="A190" s="810"/>
      <c r="B190" s="12">
        <v>40367</v>
      </c>
      <c r="C190" s="14" t="s">
        <v>519</v>
      </c>
      <c r="D190" s="14" t="s">
        <v>520</v>
      </c>
      <c r="E190" s="14" t="s">
        <v>12</v>
      </c>
      <c r="F190" s="15">
        <v>0</v>
      </c>
      <c r="G190" s="15">
        <v>0</v>
      </c>
      <c r="H190" s="51">
        <v>77300</v>
      </c>
      <c r="I190" s="52" t="s">
        <v>521</v>
      </c>
    </row>
    <row r="191" spans="1:9" ht="24.75" customHeight="1">
      <c r="A191" s="810"/>
      <c r="B191" s="12">
        <v>40367</v>
      </c>
      <c r="C191" s="14" t="s">
        <v>522</v>
      </c>
      <c r="D191" s="14" t="s">
        <v>523</v>
      </c>
      <c r="E191" s="14" t="s">
        <v>12</v>
      </c>
      <c r="F191" s="15">
        <v>0</v>
      </c>
      <c r="G191" s="15">
        <v>0</v>
      </c>
      <c r="H191" s="51">
        <v>95000</v>
      </c>
      <c r="I191" s="52" t="s">
        <v>524</v>
      </c>
    </row>
    <row r="192" spans="1:9" ht="17.25" customHeight="1">
      <c r="A192" s="810"/>
      <c r="B192" s="12">
        <v>40367</v>
      </c>
      <c r="C192" s="14" t="s">
        <v>525</v>
      </c>
      <c r="D192" s="14" t="s">
        <v>526</v>
      </c>
      <c r="E192" s="14" t="s">
        <v>12</v>
      </c>
      <c r="F192" s="15">
        <v>0</v>
      </c>
      <c r="G192" s="15">
        <v>0</v>
      </c>
      <c r="H192" s="51">
        <v>52000</v>
      </c>
      <c r="I192" s="52" t="s">
        <v>527</v>
      </c>
    </row>
    <row r="193" spans="1:9" ht="24.75" customHeight="1" thickBot="1">
      <c r="A193" s="811"/>
      <c r="B193" s="17">
        <v>40367</v>
      </c>
      <c r="C193" s="19" t="s">
        <v>528</v>
      </c>
      <c r="D193" s="19" t="s">
        <v>529</v>
      </c>
      <c r="E193" s="19" t="s">
        <v>12</v>
      </c>
      <c r="F193" s="20">
        <v>0</v>
      </c>
      <c r="G193" s="20">
        <v>0</v>
      </c>
      <c r="H193" s="54">
        <v>28747.53</v>
      </c>
      <c r="I193" s="55" t="s">
        <v>530</v>
      </c>
    </row>
    <row r="194" spans="1:9" ht="24.75" customHeight="1" thickBot="1">
      <c r="A194" s="39"/>
      <c r="B194" s="72" t="s">
        <v>1</v>
      </c>
      <c r="C194" s="4" t="s">
        <v>2</v>
      </c>
      <c r="D194" s="73" t="s">
        <v>3</v>
      </c>
      <c r="E194" s="4" t="s">
        <v>4</v>
      </c>
      <c r="F194" s="74" t="s">
        <v>5</v>
      </c>
      <c r="G194" s="4" t="s">
        <v>6</v>
      </c>
      <c r="H194" s="4" t="s">
        <v>7</v>
      </c>
      <c r="I194" s="75" t="s">
        <v>8</v>
      </c>
    </row>
    <row r="195" spans="1:9" ht="33.75" customHeight="1">
      <c r="A195" s="809" t="s">
        <v>289</v>
      </c>
      <c r="B195" s="7">
        <v>40367</v>
      </c>
      <c r="C195" s="9" t="s">
        <v>531</v>
      </c>
      <c r="D195" s="9" t="s">
        <v>532</v>
      </c>
      <c r="E195" s="9" t="s">
        <v>12</v>
      </c>
      <c r="F195" s="10">
        <v>32789890.52</v>
      </c>
      <c r="G195" s="10">
        <v>32789890.52</v>
      </c>
      <c r="H195" s="70">
        <v>0</v>
      </c>
      <c r="I195" s="71" t="s">
        <v>533</v>
      </c>
    </row>
    <row r="196" spans="1:9" ht="24.75" customHeight="1">
      <c r="A196" s="810"/>
      <c r="B196" s="12">
        <v>40367</v>
      </c>
      <c r="C196" s="14" t="s">
        <v>534</v>
      </c>
      <c r="D196" s="14" t="s">
        <v>535</v>
      </c>
      <c r="E196" s="14" t="s">
        <v>12</v>
      </c>
      <c r="F196" s="15">
        <v>0</v>
      </c>
      <c r="G196" s="15">
        <v>0</v>
      </c>
      <c r="H196" s="51">
        <v>98816</v>
      </c>
      <c r="I196" s="52" t="s">
        <v>536</v>
      </c>
    </row>
    <row r="197" spans="1:9" ht="17.25" customHeight="1">
      <c r="A197" s="810"/>
      <c r="B197" s="12">
        <v>40367</v>
      </c>
      <c r="C197" s="14" t="s">
        <v>537</v>
      </c>
      <c r="D197" s="14" t="s">
        <v>538</v>
      </c>
      <c r="E197" s="14" t="s">
        <v>12</v>
      </c>
      <c r="F197" s="15">
        <v>0</v>
      </c>
      <c r="G197" s="15">
        <v>0</v>
      </c>
      <c r="H197" s="51">
        <v>600000</v>
      </c>
      <c r="I197" s="52" t="s">
        <v>539</v>
      </c>
    </row>
    <row r="198" spans="1:9" ht="24.75" customHeight="1">
      <c r="A198" s="810"/>
      <c r="B198" s="12">
        <v>40367</v>
      </c>
      <c r="C198" s="14" t="s">
        <v>540</v>
      </c>
      <c r="D198" s="14" t="s">
        <v>541</v>
      </c>
      <c r="E198" s="14" t="s">
        <v>12</v>
      </c>
      <c r="F198" s="15">
        <v>1475187</v>
      </c>
      <c r="G198" s="15">
        <v>1475187</v>
      </c>
      <c r="H198" s="51">
        <v>0</v>
      </c>
      <c r="I198" s="52" t="s">
        <v>542</v>
      </c>
    </row>
    <row r="199" spans="1:9" ht="33.75" customHeight="1">
      <c r="A199" s="810"/>
      <c r="B199" s="12">
        <v>40367</v>
      </c>
      <c r="C199" s="14" t="s">
        <v>543</v>
      </c>
      <c r="D199" s="14" t="s">
        <v>544</v>
      </c>
      <c r="E199" s="14" t="s">
        <v>12</v>
      </c>
      <c r="F199" s="15">
        <v>0</v>
      </c>
      <c r="G199" s="15">
        <v>512000</v>
      </c>
      <c r="H199" s="51">
        <v>0</v>
      </c>
      <c r="I199" s="52" t="s">
        <v>545</v>
      </c>
    </row>
    <row r="200" spans="1:9" ht="24.75" customHeight="1">
      <c r="A200" s="810"/>
      <c r="B200" s="12">
        <v>40367</v>
      </c>
      <c r="C200" s="14" t="s">
        <v>546</v>
      </c>
      <c r="D200" s="14" t="s">
        <v>547</v>
      </c>
      <c r="E200" s="14" t="s">
        <v>12</v>
      </c>
      <c r="F200" s="15">
        <v>0</v>
      </c>
      <c r="G200" s="15">
        <v>0</v>
      </c>
      <c r="H200" s="51">
        <v>24750000</v>
      </c>
      <c r="I200" s="52" t="s">
        <v>46</v>
      </c>
    </row>
    <row r="201" spans="1:9" ht="16.5" customHeight="1">
      <c r="A201" s="810"/>
      <c r="B201" s="12">
        <v>40367</v>
      </c>
      <c r="C201" s="14" t="s">
        <v>548</v>
      </c>
      <c r="D201" s="14" t="s">
        <v>549</v>
      </c>
      <c r="E201" s="14" t="s">
        <v>12</v>
      </c>
      <c r="F201" s="15">
        <v>24250000</v>
      </c>
      <c r="G201" s="15">
        <v>24250000</v>
      </c>
      <c r="H201" s="51">
        <v>0</v>
      </c>
      <c r="I201" s="52" t="s">
        <v>222</v>
      </c>
    </row>
    <row r="202" spans="1:9" ht="24.75" customHeight="1">
      <c r="A202" s="810"/>
      <c r="B202" s="12">
        <v>40367</v>
      </c>
      <c r="C202" s="14" t="s">
        <v>550</v>
      </c>
      <c r="D202" s="14" t="s">
        <v>551</v>
      </c>
      <c r="E202" s="14" t="s">
        <v>12</v>
      </c>
      <c r="F202" s="15">
        <v>0</v>
      </c>
      <c r="G202" s="15">
        <v>0</v>
      </c>
      <c r="H202" s="51">
        <v>504000</v>
      </c>
      <c r="I202" s="52" t="s">
        <v>552</v>
      </c>
    </row>
    <row r="203" spans="1:9" ht="17.25" customHeight="1">
      <c r="A203" s="810"/>
      <c r="B203" s="12">
        <v>40378</v>
      </c>
      <c r="C203" s="13" t="s">
        <v>553</v>
      </c>
      <c r="D203" s="14" t="s">
        <v>554</v>
      </c>
      <c r="E203" s="14" t="s">
        <v>12</v>
      </c>
      <c r="F203" s="15">
        <v>312000</v>
      </c>
      <c r="G203" s="15">
        <v>312000</v>
      </c>
      <c r="H203" s="51">
        <v>0</v>
      </c>
      <c r="I203" s="52" t="s">
        <v>555</v>
      </c>
    </row>
    <row r="204" spans="1:9" ht="17.25" customHeight="1">
      <c r="A204" s="810"/>
      <c r="B204" s="12">
        <v>40385</v>
      </c>
      <c r="C204" s="13" t="s">
        <v>556</v>
      </c>
      <c r="D204" s="14" t="s">
        <v>557</v>
      </c>
      <c r="E204" s="14" t="s">
        <v>12</v>
      </c>
      <c r="F204" s="15">
        <v>546896.71</v>
      </c>
      <c r="G204" s="15">
        <v>546896.71</v>
      </c>
      <c r="H204" s="51">
        <v>0</v>
      </c>
      <c r="I204" s="52" t="s">
        <v>208</v>
      </c>
    </row>
    <row r="205" spans="1:9" ht="24.75" customHeight="1">
      <c r="A205" s="810"/>
      <c r="B205" s="12">
        <v>40385</v>
      </c>
      <c r="C205" s="13" t="s">
        <v>558</v>
      </c>
      <c r="D205" s="14" t="s">
        <v>559</v>
      </c>
      <c r="E205" s="14" t="s">
        <v>12</v>
      </c>
      <c r="F205" s="15">
        <v>12246190</v>
      </c>
      <c r="G205" s="15">
        <v>12246190</v>
      </c>
      <c r="H205" s="51">
        <v>0</v>
      </c>
      <c r="I205" s="52" t="s">
        <v>560</v>
      </c>
    </row>
    <row r="206" spans="1:9" ht="17.25" customHeight="1">
      <c r="A206" s="810"/>
      <c r="B206" s="12">
        <v>40409</v>
      </c>
      <c r="C206" s="34" t="s">
        <v>561</v>
      </c>
      <c r="D206" s="34" t="s">
        <v>562</v>
      </c>
      <c r="E206" s="34" t="s">
        <v>12</v>
      </c>
      <c r="F206" s="35">
        <v>4841000</v>
      </c>
      <c r="G206" s="35">
        <v>4841000</v>
      </c>
      <c r="H206" s="47">
        <v>0</v>
      </c>
      <c r="I206" s="48" t="s">
        <v>563</v>
      </c>
    </row>
    <row r="207" spans="1:9" ht="24.75" customHeight="1">
      <c r="A207" s="810"/>
      <c r="B207" s="12">
        <v>40409</v>
      </c>
      <c r="C207" s="14" t="s">
        <v>564</v>
      </c>
      <c r="D207" s="14" t="s">
        <v>565</v>
      </c>
      <c r="E207" s="14" t="s">
        <v>12</v>
      </c>
      <c r="F207" s="15">
        <v>9307540</v>
      </c>
      <c r="G207" s="15">
        <v>9307540</v>
      </c>
      <c r="H207" s="51">
        <v>0</v>
      </c>
      <c r="I207" s="52" t="s">
        <v>566</v>
      </c>
    </row>
    <row r="208" spans="1:9" ht="17.25" customHeight="1">
      <c r="A208" s="810"/>
      <c r="B208" s="12">
        <v>40409</v>
      </c>
      <c r="C208" s="14" t="s">
        <v>567</v>
      </c>
      <c r="D208" s="14" t="s">
        <v>568</v>
      </c>
      <c r="E208" s="14" t="s">
        <v>12</v>
      </c>
      <c r="F208" s="15">
        <v>47253648.219999999</v>
      </c>
      <c r="G208" s="15">
        <v>47353732.140000001</v>
      </c>
      <c r="H208" s="51">
        <v>0</v>
      </c>
      <c r="I208" s="52" t="s">
        <v>569</v>
      </c>
    </row>
    <row r="209" spans="1:9" ht="24.75" customHeight="1">
      <c r="A209" s="810"/>
      <c r="B209" s="12">
        <v>40409</v>
      </c>
      <c r="C209" s="14" t="s">
        <v>570</v>
      </c>
      <c r="D209" s="14" t="s">
        <v>571</v>
      </c>
      <c r="E209" s="14" t="s">
        <v>12</v>
      </c>
      <c r="F209" s="15">
        <v>0</v>
      </c>
      <c r="G209" s="15">
        <v>0</v>
      </c>
      <c r="H209" s="51">
        <v>20000</v>
      </c>
      <c r="I209" s="52" t="s">
        <v>572</v>
      </c>
    </row>
    <row r="210" spans="1:9" ht="24.75" customHeight="1">
      <c r="A210" s="810"/>
      <c r="B210" s="12">
        <v>40409</v>
      </c>
      <c r="C210" s="14" t="s">
        <v>573</v>
      </c>
      <c r="D210" s="14" t="s">
        <v>574</v>
      </c>
      <c r="E210" s="14" t="s">
        <v>12</v>
      </c>
      <c r="F210" s="15">
        <v>0</v>
      </c>
      <c r="G210" s="15">
        <v>1500000</v>
      </c>
      <c r="H210" s="51">
        <v>0</v>
      </c>
      <c r="I210" s="52" t="s">
        <v>575</v>
      </c>
    </row>
    <row r="211" spans="1:9" ht="24.75" customHeight="1">
      <c r="A211" s="810"/>
      <c r="B211" s="12">
        <v>40409</v>
      </c>
      <c r="C211" s="14" t="s">
        <v>576</v>
      </c>
      <c r="D211" s="14" t="s">
        <v>577</v>
      </c>
      <c r="E211" s="14" t="s">
        <v>12</v>
      </c>
      <c r="F211" s="15">
        <v>11498.42</v>
      </c>
      <c r="G211" s="15">
        <v>11498.42</v>
      </c>
      <c r="H211" s="51">
        <v>0</v>
      </c>
      <c r="I211" s="52" t="s">
        <v>578</v>
      </c>
    </row>
    <row r="212" spans="1:9" ht="24.75" customHeight="1">
      <c r="A212" s="810"/>
      <c r="B212" s="40">
        <v>40409</v>
      </c>
      <c r="C212" s="50" t="s">
        <v>579</v>
      </c>
      <c r="D212" s="50" t="s">
        <v>580</v>
      </c>
      <c r="E212" s="50" t="s">
        <v>12</v>
      </c>
      <c r="F212" s="77">
        <v>17888.86</v>
      </c>
      <c r="G212" s="77">
        <v>17888.86</v>
      </c>
      <c r="H212" s="62">
        <v>0</v>
      </c>
      <c r="I212" s="63" t="s">
        <v>581</v>
      </c>
    </row>
    <row r="213" spans="1:9" ht="17.25" customHeight="1" thickBot="1">
      <c r="A213" s="811"/>
      <c r="B213" s="17">
        <v>40409</v>
      </c>
      <c r="C213" s="19" t="s">
        <v>582</v>
      </c>
      <c r="D213" s="78" t="s">
        <v>583</v>
      </c>
      <c r="E213" s="19" t="s">
        <v>12</v>
      </c>
      <c r="F213" s="20">
        <v>0</v>
      </c>
      <c r="G213" s="79">
        <v>0</v>
      </c>
      <c r="H213" s="54">
        <v>13371000</v>
      </c>
      <c r="I213" s="55" t="s">
        <v>584</v>
      </c>
    </row>
    <row r="214" spans="1:9" ht="26.25" customHeight="1" thickBot="1">
      <c r="A214" s="39"/>
      <c r="B214" s="3" t="s">
        <v>1</v>
      </c>
      <c r="C214" s="5" t="s">
        <v>2</v>
      </c>
      <c r="D214" s="44" t="s">
        <v>3</v>
      </c>
      <c r="E214" s="5" t="s">
        <v>4</v>
      </c>
      <c r="F214" s="30" t="s">
        <v>5</v>
      </c>
      <c r="G214" s="5" t="s">
        <v>6</v>
      </c>
      <c r="H214" s="5" t="s">
        <v>7</v>
      </c>
      <c r="I214" s="6" t="s">
        <v>8</v>
      </c>
    </row>
    <row r="215" spans="1:9" ht="17.25" customHeight="1">
      <c r="A215" s="809" t="s">
        <v>289</v>
      </c>
      <c r="B215" s="7">
        <v>40409</v>
      </c>
      <c r="C215" s="9" t="s">
        <v>585</v>
      </c>
      <c r="D215" s="9" t="s">
        <v>586</v>
      </c>
      <c r="E215" s="9" t="s">
        <v>12</v>
      </c>
      <c r="F215" s="10">
        <v>137800</v>
      </c>
      <c r="G215" s="10">
        <v>137800</v>
      </c>
      <c r="H215" s="70">
        <v>0</v>
      </c>
      <c r="I215" s="71" t="s">
        <v>587</v>
      </c>
    </row>
    <row r="216" spans="1:9" ht="35.25" customHeight="1">
      <c r="A216" s="810"/>
      <c r="B216" s="12">
        <v>40409</v>
      </c>
      <c r="C216" s="14" t="s">
        <v>588</v>
      </c>
      <c r="D216" s="14" t="s">
        <v>589</v>
      </c>
      <c r="E216" s="14" t="s">
        <v>12</v>
      </c>
      <c r="F216" s="15">
        <v>61750</v>
      </c>
      <c r="G216" s="15">
        <v>61750</v>
      </c>
      <c r="H216" s="51">
        <v>0</v>
      </c>
      <c r="I216" s="52" t="s">
        <v>590</v>
      </c>
    </row>
    <row r="217" spans="1:9" ht="42" customHeight="1">
      <c r="A217" s="810"/>
      <c r="B217" s="12">
        <v>40409</v>
      </c>
      <c r="C217" s="14" t="s">
        <v>591</v>
      </c>
      <c r="D217" s="14" t="s">
        <v>592</v>
      </c>
      <c r="E217" s="14" t="s">
        <v>12</v>
      </c>
      <c r="F217" s="15">
        <v>0</v>
      </c>
      <c r="G217" s="15">
        <v>0</v>
      </c>
      <c r="H217" s="51">
        <v>2208000</v>
      </c>
      <c r="I217" s="52" t="s">
        <v>593</v>
      </c>
    </row>
    <row r="218" spans="1:9" ht="24.75" customHeight="1">
      <c r="A218" s="810"/>
      <c r="B218" s="12">
        <v>40409</v>
      </c>
      <c r="C218" s="14" t="s">
        <v>594</v>
      </c>
      <c r="D218" s="14" t="s">
        <v>595</v>
      </c>
      <c r="E218" s="14" t="s">
        <v>12</v>
      </c>
      <c r="F218" s="15">
        <v>136103.70000000001</v>
      </c>
      <c r="G218" s="15">
        <v>136103.70000000001</v>
      </c>
      <c r="H218" s="51">
        <v>0</v>
      </c>
      <c r="I218" s="52" t="s">
        <v>596</v>
      </c>
    </row>
    <row r="219" spans="1:9" ht="24.75" customHeight="1">
      <c r="A219" s="810"/>
      <c r="B219" s="12">
        <v>40409</v>
      </c>
      <c r="C219" s="14" t="s">
        <v>597</v>
      </c>
      <c r="D219" s="14" t="s">
        <v>598</v>
      </c>
      <c r="E219" s="14" t="s">
        <v>12</v>
      </c>
      <c r="F219" s="15">
        <v>0</v>
      </c>
      <c r="G219" s="15">
        <v>0</v>
      </c>
      <c r="H219" s="51">
        <v>2000000</v>
      </c>
      <c r="I219" s="52" t="s">
        <v>599</v>
      </c>
    </row>
    <row r="220" spans="1:9" ht="24.75" customHeight="1">
      <c r="A220" s="810"/>
      <c r="B220" s="12">
        <v>40409</v>
      </c>
      <c r="C220" s="14" t="s">
        <v>600</v>
      </c>
      <c r="D220" s="14" t="s">
        <v>601</v>
      </c>
      <c r="E220" s="14" t="s">
        <v>12</v>
      </c>
      <c r="F220" s="15">
        <v>6000</v>
      </c>
      <c r="G220" s="15">
        <v>6000</v>
      </c>
      <c r="H220" s="51">
        <v>0</v>
      </c>
      <c r="I220" s="52" t="s">
        <v>602</v>
      </c>
    </row>
    <row r="221" spans="1:9" ht="24.75" customHeight="1">
      <c r="A221" s="810"/>
      <c r="B221" s="12">
        <v>40409</v>
      </c>
      <c r="C221" s="14" t="s">
        <v>603</v>
      </c>
      <c r="D221" s="14" t="s">
        <v>604</v>
      </c>
      <c r="E221" s="14" t="s">
        <v>12</v>
      </c>
      <c r="F221" s="15">
        <v>70406</v>
      </c>
      <c r="G221" s="15">
        <v>70406</v>
      </c>
      <c r="H221" s="51">
        <v>0</v>
      </c>
      <c r="I221" s="52" t="s">
        <v>605</v>
      </c>
    </row>
    <row r="222" spans="1:9" ht="24.75" customHeight="1">
      <c r="A222" s="810"/>
      <c r="B222" s="12">
        <v>40409</v>
      </c>
      <c r="C222" s="14" t="s">
        <v>606</v>
      </c>
      <c r="D222" s="14" t="s">
        <v>607</v>
      </c>
      <c r="E222" s="14" t="s">
        <v>12</v>
      </c>
      <c r="F222" s="15">
        <v>0</v>
      </c>
      <c r="G222" s="15">
        <v>0</v>
      </c>
      <c r="H222" s="51">
        <v>999976</v>
      </c>
      <c r="I222" s="52" t="s">
        <v>608</v>
      </c>
    </row>
    <row r="223" spans="1:9" ht="33.75" customHeight="1">
      <c r="A223" s="810"/>
      <c r="B223" s="12">
        <v>40409</v>
      </c>
      <c r="C223" s="14" t="s">
        <v>609</v>
      </c>
      <c r="D223" s="14" t="s">
        <v>610</v>
      </c>
      <c r="E223" s="14" t="s">
        <v>12</v>
      </c>
      <c r="F223" s="15">
        <v>0</v>
      </c>
      <c r="G223" s="15">
        <v>0</v>
      </c>
      <c r="H223" s="51">
        <v>12500000</v>
      </c>
      <c r="I223" s="52" t="s">
        <v>611</v>
      </c>
    </row>
    <row r="224" spans="1:9" ht="44.25" customHeight="1">
      <c r="A224" s="810"/>
      <c r="B224" s="12">
        <v>40409</v>
      </c>
      <c r="C224" s="14" t="s">
        <v>612</v>
      </c>
      <c r="D224" s="14" t="s">
        <v>613</v>
      </c>
      <c r="E224" s="14" t="s">
        <v>12</v>
      </c>
      <c r="F224" s="15">
        <v>0</v>
      </c>
      <c r="G224" s="15">
        <v>15000000</v>
      </c>
      <c r="H224" s="51">
        <v>0</v>
      </c>
      <c r="I224" s="52" t="s">
        <v>614</v>
      </c>
    </row>
    <row r="225" spans="1:9" ht="24.75" customHeight="1">
      <c r="A225" s="810"/>
      <c r="B225" s="12">
        <v>40409</v>
      </c>
      <c r="C225" s="14" t="s">
        <v>615</v>
      </c>
      <c r="D225" s="14" t="s">
        <v>616</v>
      </c>
      <c r="E225" s="14" t="s">
        <v>12</v>
      </c>
      <c r="F225" s="15">
        <v>0</v>
      </c>
      <c r="G225" s="15">
        <v>0</v>
      </c>
      <c r="H225" s="51">
        <v>2000000</v>
      </c>
      <c r="I225" s="52" t="s">
        <v>617</v>
      </c>
    </row>
    <row r="226" spans="1:9" ht="32.25" customHeight="1">
      <c r="A226" s="810"/>
      <c r="B226" s="12">
        <v>40409</v>
      </c>
      <c r="C226" s="14" t="s">
        <v>618</v>
      </c>
      <c r="D226" s="14" t="s">
        <v>619</v>
      </c>
      <c r="E226" s="14" t="s">
        <v>12</v>
      </c>
      <c r="F226" s="15">
        <v>0</v>
      </c>
      <c r="G226" s="15">
        <v>0</v>
      </c>
      <c r="H226" s="51">
        <v>1000000</v>
      </c>
      <c r="I226" s="52" t="s">
        <v>620</v>
      </c>
    </row>
    <row r="227" spans="1:9" ht="24.75" customHeight="1">
      <c r="A227" s="810"/>
      <c r="B227" s="12">
        <v>40409</v>
      </c>
      <c r="C227" s="14" t="s">
        <v>621</v>
      </c>
      <c r="D227" s="14" t="s">
        <v>622</v>
      </c>
      <c r="E227" s="14" t="s">
        <v>12</v>
      </c>
      <c r="F227" s="15">
        <v>1900857</v>
      </c>
      <c r="G227" s="15">
        <v>1900857</v>
      </c>
      <c r="H227" s="51">
        <v>0</v>
      </c>
      <c r="I227" s="52" t="s">
        <v>419</v>
      </c>
    </row>
    <row r="228" spans="1:9" ht="24.75" customHeight="1">
      <c r="A228" s="810"/>
      <c r="B228" s="12">
        <v>40409</v>
      </c>
      <c r="C228" s="14" t="s">
        <v>623</v>
      </c>
      <c r="D228" s="14" t="s">
        <v>624</v>
      </c>
      <c r="E228" s="14" t="s">
        <v>12</v>
      </c>
      <c r="F228" s="15">
        <v>0</v>
      </c>
      <c r="G228" s="15">
        <v>0</v>
      </c>
      <c r="H228" s="51">
        <v>25000</v>
      </c>
      <c r="I228" s="52" t="s">
        <v>625</v>
      </c>
    </row>
    <row r="229" spans="1:9" ht="24.75" customHeight="1" thickBot="1">
      <c r="A229" s="811"/>
      <c r="B229" s="17">
        <v>40409</v>
      </c>
      <c r="C229" s="19" t="s">
        <v>626</v>
      </c>
      <c r="D229" s="19" t="s">
        <v>627</v>
      </c>
      <c r="E229" s="19" t="s">
        <v>12</v>
      </c>
      <c r="F229" s="20">
        <v>7021535.29</v>
      </c>
      <c r="G229" s="20">
        <v>7021535.29</v>
      </c>
      <c r="H229" s="54">
        <v>0</v>
      </c>
      <c r="I229" s="55" t="s">
        <v>628</v>
      </c>
    </row>
    <row r="230" spans="1:9" ht="24.75" customHeight="1" thickBot="1">
      <c r="A230" s="39"/>
      <c r="B230" s="3" t="s">
        <v>1</v>
      </c>
      <c r="C230" s="5" t="s">
        <v>2</v>
      </c>
      <c r="D230" s="44" t="s">
        <v>3</v>
      </c>
      <c r="E230" s="5" t="s">
        <v>4</v>
      </c>
      <c r="F230" s="30" t="s">
        <v>5</v>
      </c>
      <c r="G230" s="5" t="s">
        <v>6</v>
      </c>
      <c r="H230" s="5" t="s">
        <v>7</v>
      </c>
      <c r="I230" s="6" t="s">
        <v>8</v>
      </c>
    </row>
    <row r="231" spans="1:9" ht="30" customHeight="1">
      <c r="A231" s="809" t="s">
        <v>289</v>
      </c>
      <c r="B231" s="7">
        <v>40409</v>
      </c>
      <c r="C231" s="9" t="s">
        <v>629</v>
      </c>
      <c r="D231" s="9" t="s">
        <v>630</v>
      </c>
      <c r="E231" s="9" t="s">
        <v>12</v>
      </c>
      <c r="F231" s="10">
        <v>0</v>
      </c>
      <c r="G231" s="10">
        <v>0</v>
      </c>
      <c r="H231" s="70">
        <v>14400</v>
      </c>
      <c r="I231" s="71" t="s">
        <v>631</v>
      </c>
    </row>
    <row r="232" spans="1:9" ht="16.5" customHeight="1">
      <c r="A232" s="810"/>
      <c r="B232" s="12">
        <v>40409</v>
      </c>
      <c r="C232" s="14" t="s">
        <v>632</v>
      </c>
      <c r="D232" s="14" t="s">
        <v>633</v>
      </c>
      <c r="E232" s="14" t="s">
        <v>12</v>
      </c>
      <c r="F232" s="15">
        <v>0</v>
      </c>
      <c r="G232" s="15">
        <v>0</v>
      </c>
      <c r="H232" s="51">
        <v>700000</v>
      </c>
      <c r="I232" s="52" t="s">
        <v>634</v>
      </c>
    </row>
    <row r="233" spans="1:9" ht="24.75" customHeight="1">
      <c r="A233" s="810"/>
      <c r="B233" s="42">
        <v>40409</v>
      </c>
      <c r="C233" s="34" t="s">
        <v>635</v>
      </c>
      <c r="D233" s="34" t="s">
        <v>636</v>
      </c>
      <c r="E233" s="34" t="s">
        <v>12</v>
      </c>
      <c r="F233" s="35">
        <v>0</v>
      </c>
      <c r="G233" s="35">
        <v>0</v>
      </c>
      <c r="H233" s="47">
        <v>6000000</v>
      </c>
      <c r="I233" s="48" t="s">
        <v>637</v>
      </c>
    </row>
    <row r="234" spans="1:9" ht="24.75" customHeight="1">
      <c r="A234" s="810"/>
      <c r="B234" s="12">
        <v>40409</v>
      </c>
      <c r="C234" s="14" t="s">
        <v>638</v>
      </c>
      <c r="D234" s="14" t="s">
        <v>639</v>
      </c>
      <c r="E234" s="14" t="s">
        <v>12</v>
      </c>
      <c r="F234" s="15">
        <v>3000000</v>
      </c>
      <c r="G234" s="15">
        <v>3000000</v>
      </c>
      <c r="H234" s="51">
        <v>0</v>
      </c>
      <c r="I234" s="52" t="s">
        <v>640</v>
      </c>
    </row>
    <row r="235" spans="1:9" ht="32.25" customHeight="1">
      <c r="A235" s="810"/>
      <c r="B235" s="12">
        <v>40409</v>
      </c>
      <c r="C235" s="14" t="s">
        <v>641</v>
      </c>
      <c r="D235" s="14" t="s">
        <v>642</v>
      </c>
      <c r="E235" s="14" t="s">
        <v>12</v>
      </c>
      <c r="F235" s="15">
        <v>20000000</v>
      </c>
      <c r="G235" s="15">
        <v>20000000</v>
      </c>
      <c r="H235" s="51">
        <v>0</v>
      </c>
      <c r="I235" s="52" t="s">
        <v>643</v>
      </c>
    </row>
    <row r="236" spans="1:9" ht="24.75" customHeight="1">
      <c r="A236" s="810"/>
      <c r="B236" s="12">
        <v>40409</v>
      </c>
      <c r="C236" s="14" t="s">
        <v>644</v>
      </c>
      <c r="D236" s="14" t="s">
        <v>645</v>
      </c>
      <c r="E236" s="14" t="s">
        <v>12</v>
      </c>
      <c r="F236" s="15">
        <v>0</v>
      </c>
      <c r="G236" s="15">
        <v>0</v>
      </c>
      <c r="H236" s="51">
        <v>264904.53000000003</v>
      </c>
      <c r="I236" s="52" t="s">
        <v>646</v>
      </c>
    </row>
    <row r="237" spans="1:9" ht="24.75" customHeight="1">
      <c r="A237" s="810"/>
      <c r="B237" s="12">
        <v>40409</v>
      </c>
      <c r="C237" s="14" t="s">
        <v>647</v>
      </c>
      <c r="D237" s="14" t="s">
        <v>648</v>
      </c>
      <c r="E237" s="14" t="s">
        <v>12</v>
      </c>
      <c r="F237" s="15">
        <v>0</v>
      </c>
      <c r="G237" s="15">
        <v>0</v>
      </c>
      <c r="H237" s="51">
        <v>8186641</v>
      </c>
      <c r="I237" s="52" t="s">
        <v>649</v>
      </c>
    </row>
    <row r="238" spans="1:9" ht="24.75" customHeight="1">
      <c r="A238" s="810"/>
      <c r="B238" s="12">
        <v>40409</v>
      </c>
      <c r="C238" s="14" t="s">
        <v>650</v>
      </c>
      <c r="D238" s="14" t="s">
        <v>651</v>
      </c>
      <c r="E238" s="14" t="s">
        <v>12</v>
      </c>
      <c r="F238" s="15">
        <v>0</v>
      </c>
      <c r="G238" s="15">
        <v>0</v>
      </c>
      <c r="H238" s="51">
        <v>1000000</v>
      </c>
      <c r="I238" s="52" t="s">
        <v>652</v>
      </c>
    </row>
    <row r="239" spans="1:9" ht="24.75" customHeight="1">
      <c r="A239" s="810"/>
      <c r="B239" s="12">
        <v>40409</v>
      </c>
      <c r="C239" s="14" t="s">
        <v>653</v>
      </c>
      <c r="D239" s="14" t="s">
        <v>654</v>
      </c>
      <c r="E239" s="14" t="s">
        <v>12</v>
      </c>
      <c r="F239" s="15">
        <v>42000</v>
      </c>
      <c r="G239" s="15">
        <v>42000</v>
      </c>
      <c r="H239" s="51">
        <v>0</v>
      </c>
      <c r="I239" s="52" t="s">
        <v>655</v>
      </c>
    </row>
    <row r="240" spans="1:9" ht="24.75" customHeight="1">
      <c r="A240" s="810"/>
      <c r="B240" s="12">
        <v>40409</v>
      </c>
      <c r="C240" s="14" t="s">
        <v>656</v>
      </c>
      <c r="D240" s="14" t="s">
        <v>657</v>
      </c>
      <c r="E240" s="14" t="s">
        <v>12</v>
      </c>
      <c r="F240" s="15">
        <v>0</v>
      </c>
      <c r="G240" s="15">
        <v>0</v>
      </c>
      <c r="H240" s="51">
        <v>3500000</v>
      </c>
      <c r="I240" s="52" t="s">
        <v>658</v>
      </c>
    </row>
    <row r="241" spans="1:9" ht="33.75" customHeight="1">
      <c r="A241" s="810"/>
      <c r="B241" s="12">
        <v>40409</v>
      </c>
      <c r="C241" s="14" t="s">
        <v>659</v>
      </c>
      <c r="D241" s="14" t="s">
        <v>660</v>
      </c>
      <c r="E241" s="14" t="s">
        <v>12</v>
      </c>
      <c r="F241" s="15">
        <v>0</v>
      </c>
      <c r="G241" s="15">
        <v>1000000</v>
      </c>
      <c r="H241" s="51">
        <v>0</v>
      </c>
      <c r="I241" s="52" t="s">
        <v>661</v>
      </c>
    </row>
    <row r="242" spans="1:9" ht="24.75" customHeight="1">
      <c r="A242" s="810"/>
      <c r="B242" s="12">
        <v>40409</v>
      </c>
      <c r="C242" s="14" t="s">
        <v>662</v>
      </c>
      <c r="D242" s="14" t="s">
        <v>663</v>
      </c>
      <c r="E242" s="14" t="s">
        <v>12</v>
      </c>
      <c r="F242" s="15">
        <v>0</v>
      </c>
      <c r="G242" s="15">
        <v>0</v>
      </c>
      <c r="H242" s="51">
        <v>60000</v>
      </c>
      <c r="I242" s="52" t="s">
        <v>664</v>
      </c>
    </row>
    <row r="243" spans="1:9" ht="30.75" customHeight="1">
      <c r="A243" s="810"/>
      <c r="B243" s="12">
        <v>40420</v>
      </c>
      <c r="C243" s="14" t="s">
        <v>665</v>
      </c>
      <c r="D243" s="14" t="s">
        <v>666</v>
      </c>
      <c r="E243" s="14" t="s">
        <v>12</v>
      </c>
      <c r="F243" s="15">
        <v>2814477.5</v>
      </c>
      <c r="G243" s="15">
        <v>2814477.5</v>
      </c>
      <c r="H243" s="51">
        <v>0</v>
      </c>
      <c r="I243" s="52" t="s">
        <v>667</v>
      </c>
    </row>
    <row r="244" spans="1:9" ht="42.75" customHeight="1">
      <c r="A244" s="810"/>
      <c r="B244" s="12">
        <v>40420</v>
      </c>
      <c r="C244" s="14" t="s">
        <v>668</v>
      </c>
      <c r="D244" s="14" t="s">
        <v>669</v>
      </c>
      <c r="E244" s="14" t="s">
        <v>12</v>
      </c>
      <c r="F244" s="15">
        <v>0</v>
      </c>
      <c r="G244" s="15">
        <v>0</v>
      </c>
      <c r="H244" s="51">
        <v>1100000</v>
      </c>
      <c r="I244" s="52" t="s">
        <v>670</v>
      </c>
    </row>
    <row r="245" spans="1:9" ht="17.25" customHeight="1">
      <c r="A245" s="810"/>
      <c r="B245" s="12">
        <v>40420</v>
      </c>
      <c r="C245" s="14" t="s">
        <v>671</v>
      </c>
      <c r="D245" s="14" t="s">
        <v>672</v>
      </c>
      <c r="E245" s="14" t="s">
        <v>12</v>
      </c>
      <c r="F245" s="15">
        <v>49204.800000000003</v>
      </c>
      <c r="G245" s="15">
        <v>49204.800000000003</v>
      </c>
      <c r="H245" s="51">
        <v>0</v>
      </c>
      <c r="I245" s="52" t="s">
        <v>416</v>
      </c>
    </row>
    <row r="246" spans="1:9" ht="24.75" customHeight="1" thickBot="1">
      <c r="A246" s="811"/>
      <c r="B246" s="17">
        <v>40420</v>
      </c>
      <c r="C246" s="19" t="s">
        <v>673</v>
      </c>
      <c r="D246" s="19" t="s">
        <v>674</v>
      </c>
      <c r="E246" s="19" t="s">
        <v>12</v>
      </c>
      <c r="F246" s="20">
        <v>7651560.6299999999</v>
      </c>
      <c r="G246" s="20">
        <v>7651560.6299999999</v>
      </c>
      <c r="H246" s="54">
        <v>0</v>
      </c>
      <c r="I246" s="55" t="s">
        <v>675</v>
      </c>
    </row>
    <row r="247" spans="1:9" ht="24.75" customHeight="1" thickBot="1">
      <c r="A247" s="39"/>
      <c r="B247" s="72" t="s">
        <v>1</v>
      </c>
      <c r="C247" s="4" t="s">
        <v>2</v>
      </c>
      <c r="D247" s="73" t="s">
        <v>3</v>
      </c>
      <c r="E247" s="4" t="s">
        <v>4</v>
      </c>
      <c r="F247" s="74" t="s">
        <v>5</v>
      </c>
      <c r="G247" s="4" t="s">
        <v>6</v>
      </c>
      <c r="H247" s="4" t="s">
        <v>7</v>
      </c>
      <c r="I247" s="75" t="s">
        <v>8</v>
      </c>
    </row>
    <row r="248" spans="1:9" ht="24.75" customHeight="1">
      <c r="A248" s="809" t="s">
        <v>289</v>
      </c>
      <c r="B248" s="7">
        <v>40420</v>
      </c>
      <c r="C248" s="9" t="s">
        <v>676</v>
      </c>
      <c r="D248" s="9" t="s">
        <v>677</v>
      </c>
      <c r="E248" s="9" t="s">
        <v>12</v>
      </c>
      <c r="F248" s="10">
        <v>0</v>
      </c>
      <c r="G248" s="10">
        <v>0</v>
      </c>
      <c r="H248" s="70">
        <v>2000000</v>
      </c>
      <c r="I248" s="71" t="s">
        <v>678</v>
      </c>
    </row>
    <row r="249" spans="1:9" ht="33.75" customHeight="1">
      <c r="A249" s="810"/>
      <c r="B249" s="12">
        <v>40420</v>
      </c>
      <c r="C249" s="14" t="s">
        <v>679</v>
      </c>
      <c r="D249" s="14" t="s">
        <v>680</v>
      </c>
      <c r="E249" s="14" t="s">
        <v>12</v>
      </c>
      <c r="F249" s="15">
        <v>100000</v>
      </c>
      <c r="G249" s="15">
        <v>100000</v>
      </c>
      <c r="H249" s="51">
        <v>550000</v>
      </c>
      <c r="I249" s="52" t="s">
        <v>681</v>
      </c>
    </row>
    <row r="250" spans="1:9" ht="24.75" customHeight="1">
      <c r="A250" s="810"/>
      <c r="B250" s="12">
        <v>40420</v>
      </c>
      <c r="C250" s="14" t="s">
        <v>682</v>
      </c>
      <c r="D250" s="14" t="s">
        <v>683</v>
      </c>
      <c r="E250" s="14" t="s">
        <v>12</v>
      </c>
      <c r="F250" s="15">
        <v>0</v>
      </c>
      <c r="G250" s="15">
        <v>0</v>
      </c>
      <c r="H250" s="51">
        <v>250000</v>
      </c>
      <c r="I250" s="52" t="s">
        <v>684</v>
      </c>
    </row>
    <row r="251" spans="1:9" ht="24.75" customHeight="1">
      <c r="A251" s="810"/>
      <c r="B251" s="12">
        <v>40420</v>
      </c>
      <c r="C251" s="14" t="s">
        <v>685</v>
      </c>
      <c r="D251" s="14" t="s">
        <v>686</v>
      </c>
      <c r="E251" s="14" t="s">
        <v>12</v>
      </c>
      <c r="F251" s="15">
        <v>2430</v>
      </c>
      <c r="G251" s="15">
        <v>2430</v>
      </c>
      <c r="H251" s="51">
        <v>0</v>
      </c>
      <c r="I251" s="52" t="s">
        <v>181</v>
      </c>
    </row>
    <row r="252" spans="1:9" ht="24.75" customHeight="1">
      <c r="A252" s="810"/>
      <c r="B252" s="12">
        <v>40430</v>
      </c>
      <c r="C252" s="13" t="s">
        <v>687</v>
      </c>
      <c r="D252" s="14" t="s">
        <v>688</v>
      </c>
      <c r="E252" s="14" t="s">
        <v>12</v>
      </c>
      <c r="F252" s="15">
        <v>59372726.799999997</v>
      </c>
      <c r="G252" s="15">
        <v>59372726.799999997</v>
      </c>
      <c r="H252" s="51">
        <v>0</v>
      </c>
      <c r="I252" s="52" t="s">
        <v>689</v>
      </c>
    </row>
    <row r="253" spans="1:9" ht="17.25" customHeight="1">
      <c r="A253" s="810"/>
      <c r="B253" s="12">
        <v>40430</v>
      </c>
      <c r="C253" s="13" t="s">
        <v>690</v>
      </c>
      <c r="D253" s="14" t="s">
        <v>691</v>
      </c>
      <c r="E253" s="14" t="s">
        <v>12</v>
      </c>
      <c r="F253" s="15">
        <v>352264.37</v>
      </c>
      <c r="G253" s="15">
        <v>352264.37</v>
      </c>
      <c r="H253" s="51">
        <v>0</v>
      </c>
      <c r="I253" s="52" t="s">
        <v>208</v>
      </c>
    </row>
    <row r="254" spans="1:9" ht="23.25" customHeight="1">
      <c r="A254" s="810"/>
      <c r="B254" s="12">
        <v>40444</v>
      </c>
      <c r="C254" s="14" t="s">
        <v>692</v>
      </c>
      <c r="D254" s="14" t="s">
        <v>693</v>
      </c>
      <c r="E254" s="14" t="s">
        <v>12</v>
      </c>
      <c r="F254" s="15">
        <v>0</v>
      </c>
      <c r="G254" s="15">
        <v>0</v>
      </c>
      <c r="H254" s="15">
        <v>500000</v>
      </c>
      <c r="I254" s="52" t="s">
        <v>694</v>
      </c>
    </row>
    <row r="255" spans="1:9" ht="30.75" customHeight="1">
      <c r="A255" s="810"/>
      <c r="B255" s="12">
        <v>40444</v>
      </c>
      <c r="C255" s="14" t="s">
        <v>695</v>
      </c>
      <c r="D255" s="14" t="s">
        <v>696</v>
      </c>
      <c r="E255" s="14" t="s">
        <v>12</v>
      </c>
      <c r="F255" s="15">
        <v>0</v>
      </c>
      <c r="G255" s="15">
        <v>0</v>
      </c>
      <c r="H255" s="15">
        <v>300000</v>
      </c>
      <c r="I255" s="52" t="s">
        <v>697</v>
      </c>
    </row>
    <row r="256" spans="1:9" ht="22.5" customHeight="1">
      <c r="A256" s="810"/>
      <c r="B256" s="12">
        <v>40444</v>
      </c>
      <c r="C256" s="14" t="s">
        <v>698</v>
      </c>
      <c r="D256" s="14" t="s">
        <v>699</v>
      </c>
      <c r="E256" s="14" t="s">
        <v>12</v>
      </c>
      <c r="F256" s="15">
        <v>4979000</v>
      </c>
      <c r="G256" s="15">
        <v>4979000</v>
      </c>
      <c r="H256" s="15">
        <v>0</v>
      </c>
      <c r="I256" s="52" t="s">
        <v>700</v>
      </c>
    </row>
    <row r="257" spans="1:9" ht="22.5" customHeight="1">
      <c r="A257" s="810"/>
      <c r="B257" s="12">
        <v>40444</v>
      </c>
      <c r="C257" s="14" t="s">
        <v>701</v>
      </c>
      <c r="D257" s="14" t="s">
        <v>702</v>
      </c>
      <c r="E257" s="14" t="s">
        <v>12</v>
      </c>
      <c r="F257" s="15">
        <v>56220</v>
      </c>
      <c r="G257" s="15">
        <v>56220</v>
      </c>
      <c r="H257" s="15">
        <v>0</v>
      </c>
      <c r="I257" s="52" t="s">
        <v>181</v>
      </c>
    </row>
    <row r="258" spans="1:9" ht="22.5" customHeight="1">
      <c r="A258" s="810"/>
      <c r="B258" s="12">
        <v>40444</v>
      </c>
      <c r="C258" s="14" t="s">
        <v>703</v>
      </c>
      <c r="D258" s="14" t="s">
        <v>704</v>
      </c>
      <c r="E258" s="14" t="s">
        <v>12</v>
      </c>
      <c r="F258" s="15">
        <v>0</v>
      </c>
      <c r="G258" s="15">
        <v>0</v>
      </c>
      <c r="H258" s="15">
        <v>100000</v>
      </c>
      <c r="I258" s="52" t="s">
        <v>705</v>
      </c>
    </row>
    <row r="259" spans="1:9" ht="17.25" customHeight="1">
      <c r="A259" s="810"/>
      <c r="B259" s="12">
        <v>40444</v>
      </c>
      <c r="C259" s="14" t="s">
        <v>706</v>
      </c>
      <c r="D259" s="14" t="s">
        <v>707</v>
      </c>
      <c r="E259" s="14" t="s">
        <v>12</v>
      </c>
      <c r="F259" s="15">
        <v>0</v>
      </c>
      <c r="G259" s="15">
        <v>1417122</v>
      </c>
      <c r="H259" s="15">
        <v>0</v>
      </c>
      <c r="I259" s="52" t="s">
        <v>708</v>
      </c>
    </row>
    <row r="260" spans="1:9" ht="17.25" customHeight="1">
      <c r="A260" s="810"/>
      <c r="B260" s="12">
        <v>40444</v>
      </c>
      <c r="C260" s="14" t="s">
        <v>709</v>
      </c>
      <c r="D260" s="14" t="s">
        <v>710</v>
      </c>
      <c r="E260" s="14" t="s">
        <v>12</v>
      </c>
      <c r="F260" s="15">
        <v>300000</v>
      </c>
      <c r="G260" s="15">
        <v>300000</v>
      </c>
      <c r="H260" s="15">
        <v>0</v>
      </c>
      <c r="I260" s="52" t="s">
        <v>711</v>
      </c>
    </row>
    <row r="261" spans="1:9" ht="32.25" customHeight="1">
      <c r="A261" s="810"/>
      <c r="B261" s="12">
        <v>40444</v>
      </c>
      <c r="C261" s="14" t="s">
        <v>712</v>
      </c>
      <c r="D261" s="14" t="s">
        <v>713</v>
      </c>
      <c r="E261" s="14" t="s">
        <v>12</v>
      </c>
      <c r="F261" s="15">
        <v>0</v>
      </c>
      <c r="G261" s="15">
        <v>0</v>
      </c>
      <c r="H261" s="15">
        <v>1650668.36</v>
      </c>
      <c r="I261" s="52" t="s">
        <v>714</v>
      </c>
    </row>
    <row r="262" spans="1:9" ht="17.25" customHeight="1">
      <c r="A262" s="810"/>
      <c r="B262" s="12">
        <v>40444</v>
      </c>
      <c r="C262" s="14" t="s">
        <v>715</v>
      </c>
      <c r="D262" s="14" t="s">
        <v>716</v>
      </c>
      <c r="E262" s="14" t="s">
        <v>12</v>
      </c>
      <c r="F262" s="15">
        <v>50000</v>
      </c>
      <c r="G262" s="15">
        <v>50000</v>
      </c>
      <c r="H262" s="15">
        <v>0</v>
      </c>
      <c r="I262" s="52" t="s">
        <v>383</v>
      </c>
    </row>
    <row r="263" spans="1:9" ht="23.25" customHeight="1">
      <c r="A263" s="810"/>
      <c r="B263" s="12">
        <v>40444</v>
      </c>
      <c r="C263" s="14" t="s">
        <v>717</v>
      </c>
      <c r="D263" s="14" t="s">
        <v>718</v>
      </c>
      <c r="E263" s="14" t="s">
        <v>12</v>
      </c>
      <c r="F263" s="15">
        <v>4679000</v>
      </c>
      <c r="G263" s="15">
        <v>4679000</v>
      </c>
      <c r="H263" s="15">
        <v>0</v>
      </c>
      <c r="I263" s="52" t="s">
        <v>719</v>
      </c>
    </row>
    <row r="264" spans="1:9" ht="34.5" customHeight="1">
      <c r="A264" s="810"/>
      <c r="B264" s="12">
        <v>40444</v>
      </c>
      <c r="C264" s="14" t="s">
        <v>720</v>
      </c>
      <c r="D264" s="14" t="s">
        <v>721</v>
      </c>
      <c r="E264" s="14" t="s">
        <v>12</v>
      </c>
      <c r="F264" s="15">
        <v>0</v>
      </c>
      <c r="G264" s="15">
        <v>0</v>
      </c>
      <c r="H264" s="15">
        <v>52000</v>
      </c>
      <c r="I264" s="52" t="s">
        <v>722</v>
      </c>
    </row>
    <row r="265" spans="1:9" ht="24" customHeight="1" thickBot="1">
      <c r="A265" s="811"/>
      <c r="B265" s="17">
        <v>40444</v>
      </c>
      <c r="C265" s="19" t="s">
        <v>723</v>
      </c>
      <c r="D265" s="19" t="s">
        <v>724</v>
      </c>
      <c r="E265" s="19" t="s">
        <v>12</v>
      </c>
      <c r="F265" s="20">
        <v>0</v>
      </c>
      <c r="G265" s="20">
        <v>0</v>
      </c>
      <c r="H265" s="20">
        <v>1209720</v>
      </c>
      <c r="I265" s="55" t="s">
        <v>725</v>
      </c>
    </row>
    <row r="266" spans="1:9" ht="24.75" customHeight="1" thickBot="1">
      <c r="A266" s="39"/>
      <c r="B266" s="3" t="s">
        <v>1</v>
      </c>
      <c r="C266" s="5" t="s">
        <v>2</v>
      </c>
      <c r="D266" s="44" t="s">
        <v>3</v>
      </c>
      <c r="E266" s="5" t="s">
        <v>4</v>
      </c>
      <c r="F266" s="30" t="s">
        <v>5</v>
      </c>
      <c r="G266" s="5" t="s">
        <v>6</v>
      </c>
      <c r="H266" s="5" t="s">
        <v>7</v>
      </c>
      <c r="I266" s="6" t="s">
        <v>8</v>
      </c>
    </row>
    <row r="267" spans="1:9" ht="25.5" customHeight="1">
      <c r="A267" s="809" t="s">
        <v>289</v>
      </c>
      <c r="B267" s="7">
        <v>40444</v>
      </c>
      <c r="C267" s="9" t="s">
        <v>726</v>
      </c>
      <c r="D267" s="9" t="s">
        <v>727</v>
      </c>
      <c r="E267" s="9" t="s">
        <v>12</v>
      </c>
      <c r="F267" s="10">
        <v>0</v>
      </c>
      <c r="G267" s="10">
        <v>0</v>
      </c>
      <c r="H267" s="10">
        <v>50000</v>
      </c>
      <c r="I267" s="71" t="s">
        <v>728</v>
      </c>
    </row>
    <row r="268" spans="1:9" ht="21.75" customHeight="1">
      <c r="A268" s="810"/>
      <c r="B268" s="12">
        <v>40444</v>
      </c>
      <c r="C268" s="14" t="s">
        <v>729</v>
      </c>
      <c r="D268" s="14" t="s">
        <v>730</v>
      </c>
      <c r="E268" s="14" t="s">
        <v>12</v>
      </c>
      <c r="F268" s="15">
        <v>0</v>
      </c>
      <c r="G268" s="15">
        <v>0</v>
      </c>
      <c r="H268" s="15">
        <v>280000</v>
      </c>
      <c r="I268" s="52" t="s">
        <v>249</v>
      </c>
    </row>
    <row r="269" spans="1:9" ht="33.75" customHeight="1">
      <c r="A269" s="810"/>
      <c r="B269" s="12">
        <v>40444</v>
      </c>
      <c r="C269" s="14" t="s">
        <v>731</v>
      </c>
      <c r="D269" s="14" t="s">
        <v>732</v>
      </c>
      <c r="E269" s="14" t="s">
        <v>12</v>
      </c>
      <c r="F269" s="15">
        <v>0</v>
      </c>
      <c r="G269" s="15">
        <v>2225000</v>
      </c>
      <c r="H269" s="15">
        <v>0</v>
      </c>
      <c r="I269" s="52" t="s">
        <v>733</v>
      </c>
    </row>
    <row r="270" spans="1:9" ht="21" customHeight="1">
      <c r="A270" s="810"/>
      <c r="B270" s="12">
        <v>40444</v>
      </c>
      <c r="C270" s="14" t="s">
        <v>734</v>
      </c>
      <c r="D270" s="14" t="s">
        <v>735</v>
      </c>
      <c r="E270" s="14" t="s">
        <v>12</v>
      </c>
      <c r="F270" s="15">
        <v>0</v>
      </c>
      <c r="G270" s="15">
        <v>0</v>
      </c>
      <c r="H270" s="15">
        <v>22500000</v>
      </c>
      <c r="I270" s="52" t="s">
        <v>736</v>
      </c>
    </row>
    <row r="271" spans="1:9" ht="21" customHeight="1">
      <c r="A271" s="810"/>
      <c r="B271" s="12">
        <v>40444</v>
      </c>
      <c r="C271" s="14" t="s">
        <v>737</v>
      </c>
      <c r="D271" s="14" t="s">
        <v>738</v>
      </c>
      <c r="E271" s="14" t="s">
        <v>12</v>
      </c>
      <c r="F271" s="15">
        <v>0</v>
      </c>
      <c r="G271" s="15">
        <v>0</v>
      </c>
      <c r="H271" s="15">
        <v>50000</v>
      </c>
      <c r="I271" s="52" t="s">
        <v>739</v>
      </c>
    </row>
    <row r="272" spans="1:9" ht="31.5" customHeight="1">
      <c r="A272" s="810"/>
      <c r="B272" s="12">
        <v>40444</v>
      </c>
      <c r="C272" s="14" t="s">
        <v>740</v>
      </c>
      <c r="D272" s="14" t="s">
        <v>741</v>
      </c>
      <c r="E272" s="14" t="s">
        <v>12</v>
      </c>
      <c r="F272" s="15">
        <v>0</v>
      </c>
      <c r="G272" s="15">
        <v>903550</v>
      </c>
      <c r="H272" s="15">
        <v>0</v>
      </c>
      <c r="I272" s="52" t="s">
        <v>742</v>
      </c>
    </row>
    <row r="273" spans="1:9" ht="30.75" customHeight="1">
      <c r="A273" s="810"/>
      <c r="B273" s="12">
        <v>40444</v>
      </c>
      <c r="C273" s="14" t="s">
        <v>743</v>
      </c>
      <c r="D273" s="14" t="s">
        <v>744</v>
      </c>
      <c r="E273" s="14" t="s">
        <v>12</v>
      </c>
      <c r="F273" s="15">
        <v>0</v>
      </c>
      <c r="G273" s="15">
        <v>0</v>
      </c>
      <c r="H273" s="15">
        <v>7675731.1900000004</v>
      </c>
      <c r="I273" s="52" t="s">
        <v>745</v>
      </c>
    </row>
    <row r="274" spans="1:9" ht="24" customHeight="1">
      <c r="A274" s="810"/>
      <c r="B274" s="12">
        <v>40444</v>
      </c>
      <c r="C274" s="14" t="s">
        <v>746</v>
      </c>
      <c r="D274" s="14" t="s">
        <v>747</v>
      </c>
      <c r="E274" s="14" t="s">
        <v>12</v>
      </c>
      <c r="F274" s="15">
        <v>9765748.4100000001</v>
      </c>
      <c r="G274" s="15">
        <v>9765748.4100000001</v>
      </c>
      <c r="H274" s="15">
        <v>0</v>
      </c>
      <c r="I274" s="52" t="s">
        <v>748</v>
      </c>
    </row>
    <row r="275" spans="1:9" ht="24.75" customHeight="1">
      <c r="A275" s="810"/>
      <c r="B275" s="12">
        <v>40444</v>
      </c>
      <c r="C275" s="14" t="s">
        <v>749</v>
      </c>
      <c r="D275" s="14" t="s">
        <v>750</v>
      </c>
      <c r="E275" s="14" t="s">
        <v>12</v>
      </c>
      <c r="F275" s="15">
        <v>0</v>
      </c>
      <c r="G275" s="15">
        <v>0</v>
      </c>
      <c r="H275" s="15">
        <v>3427000</v>
      </c>
      <c r="I275" s="52" t="s">
        <v>751</v>
      </c>
    </row>
    <row r="276" spans="1:9" ht="17.25" customHeight="1">
      <c r="A276" s="810"/>
      <c r="B276" s="12">
        <v>40444</v>
      </c>
      <c r="C276" s="14" t="s">
        <v>752</v>
      </c>
      <c r="D276" s="14" t="s">
        <v>753</v>
      </c>
      <c r="E276" s="14" t="s">
        <v>12</v>
      </c>
      <c r="F276" s="15">
        <v>0</v>
      </c>
      <c r="G276" s="15">
        <v>0</v>
      </c>
      <c r="H276" s="15">
        <v>205001</v>
      </c>
      <c r="I276" s="52" t="s">
        <v>754</v>
      </c>
    </row>
    <row r="277" spans="1:9" ht="31.5" customHeight="1">
      <c r="A277" s="810"/>
      <c r="B277" s="12">
        <v>40444</v>
      </c>
      <c r="C277" s="14" t="s">
        <v>755</v>
      </c>
      <c r="D277" s="14" t="s">
        <v>756</v>
      </c>
      <c r="E277" s="14" t="s">
        <v>12</v>
      </c>
      <c r="F277" s="15">
        <v>0</v>
      </c>
      <c r="G277" s="15">
        <v>0</v>
      </c>
      <c r="H277" s="15">
        <v>15032215</v>
      </c>
      <c r="I277" s="52" t="s">
        <v>757</v>
      </c>
    </row>
    <row r="278" spans="1:9" ht="24" customHeight="1">
      <c r="A278" s="810"/>
      <c r="B278" s="12">
        <v>40444</v>
      </c>
      <c r="C278" s="14" t="s">
        <v>758</v>
      </c>
      <c r="D278" s="14" t="s">
        <v>759</v>
      </c>
      <c r="E278" s="14" t="s">
        <v>12</v>
      </c>
      <c r="F278" s="15">
        <v>0</v>
      </c>
      <c r="G278" s="15">
        <v>0</v>
      </c>
      <c r="H278" s="15">
        <v>7057904</v>
      </c>
      <c r="I278" s="52" t="s">
        <v>760</v>
      </c>
    </row>
    <row r="279" spans="1:9" ht="30.75" customHeight="1">
      <c r="A279" s="810"/>
      <c r="B279" s="12">
        <v>40444</v>
      </c>
      <c r="C279" s="14" t="s">
        <v>761</v>
      </c>
      <c r="D279" s="14" t="s">
        <v>762</v>
      </c>
      <c r="E279" s="14" t="s">
        <v>12</v>
      </c>
      <c r="F279" s="15">
        <v>0</v>
      </c>
      <c r="G279" s="15">
        <v>0</v>
      </c>
      <c r="H279" s="15">
        <v>4800</v>
      </c>
      <c r="I279" s="52" t="s">
        <v>763</v>
      </c>
    </row>
    <row r="280" spans="1:9" ht="41.25" customHeight="1">
      <c r="A280" s="810"/>
      <c r="B280" s="40">
        <v>40444</v>
      </c>
      <c r="C280" s="50" t="s">
        <v>764</v>
      </c>
      <c r="D280" s="50" t="s">
        <v>765</v>
      </c>
      <c r="E280" s="50" t="s">
        <v>12</v>
      </c>
      <c r="F280" s="77">
        <v>0</v>
      </c>
      <c r="G280" s="77">
        <v>29000</v>
      </c>
      <c r="H280" s="77">
        <v>0</v>
      </c>
      <c r="I280" s="63" t="s">
        <v>766</v>
      </c>
    </row>
    <row r="281" spans="1:9" ht="21.75" customHeight="1">
      <c r="A281" s="810"/>
      <c r="B281" s="12">
        <v>40458</v>
      </c>
      <c r="C281" s="14" t="s">
        <v>767</v>
      </c>
      <c r="D281" s="14" t="s">
        <v>768</v>
      </c>
      <c r="E281" s="14" t="s">
        <v>12</v>
      </c>
      <c r="F281" s="77">
        <v>0</v>
      </c>
      <c r="G281" s="77">
        <v>0</v>
      </c>
      <c r="H281" s="77">
        <v>330000</v>
      </c>
      <c r="I281" s="63" t="s">
        <v>769</v>
      </c>
    </row>
    <row r="282" spans="1:9" ht="21" customHeight="1" thickBot="1">
      <c r="A282" s="811"/>
      <c r="B282" s="17">
        <v>40472</v>
      </c>
      <c r="C282" s="19" t="s">
        <v>770</v>
      </c>
      <c r="D282" s="19" t="s">
        <v>771</v>
      </c>
      <c r="E282" s="19" t="s">
        <v>12</v>
      </c>
      <c r="F282" s="20">
        <v>109848</v>
      </c>
      <c r="G282" s="20">
        <v>109848</v>
      </c>
      <c r="H282" s="20">
        <v>0</v>
      </c>
      <c r="I282" s="55" t="s">
        <v>772</v>
      </c>
    </row>
    <row r="283" spans="1:9" ht="24.75" customHeight="1" thickBot="1">
      <c r="A283" s="39"/>
      <c r="B283" s="3" t="s">
        <v>1</v>
      </c>
      <c r="C283" s="5" t="s">
        <v>2</v>
      </c>
      <c r="D283" s="44" t="s">
        <v>3</v>
      </c>
      <c r="E283" s="5" t="s">
        <v>4</v>
      </c>
      <c r="F283" s="30" t="s">
        <v>5</v>
      </c>
      <c r="G283" s="5" t="s">
        <v>6</v>
      </c>
      <c r="H283" s="5" t="s">
        <v>7</v>
      </c>
      <c r="I283" s="6" t="s">
        <v>8</v>
      </c>
    </row>
    <row r="284" spans="1:9" ht="24" customHeight="1">
      <c r="A284" s="809" t="s">
        <v>289</v>
      </c>
      <c r="B284" s="7">
        <v>40472</v>
      </c>
      <c r="C284" s="9" t="s">
        <v>773</v>
      </c>
      <c r="D284" s="9" t="s">
        <v>774</v>
      </c>
      <c r="E284" s="9" t="s">
        <v>12</v>
      </c>
      <c r="F284" s="80">
        <v>1121500</v>
      </c>
      <c r="G284" s="80">
        <v>1121500</v>
      </c>
      <c r="H284" s="80">
        <v>0</v>
      </c>
      <c r="I284" s="81" t="s">
        <v>501</v>
      </c>
    </row>
    <row r="285" spans="1:9" ht="24" customHeight="1">
      <c r="A285" s="810"/>
      <c r="B285" s="12">
        <v>40472</v>
      </c>
      <c r="C285" s="14" t="s">
        <v>775</v>
      </c>
      <c r="D285" s="14" t="s">
        <v>776</v>
      </c>
      <c r="E285" s="14" t="s">
        <v>12</v>
      </c>
      <c r="F285" s="77">
        <v>0</v>
      </c>
      <c r="G285" s="77">
        <v>0</v>
      </c>
      <c r="H285" s="15">
        <v>207666</v>
      </c>
      <c r="I285" s="52" t="s">
        <v>777</v>
      </c>
    </row>
    <row r="286" spans="1:9" ht="23.25" customHeight="1">
      <c r="A286" s="810"/>
      <c r="B286" s="12">
        <v>40472</v>
      </c>
      <c r="C286" s="14" t="s">
        <v>778</v>
      </c>
      <c r="D286" s="14" t="s">
        <v>779</v>
      </c>
      <c r="E286" s="14" t="s">
        <v>12</v>
      </c>
      <c r="F286" s="77">
        <v>95356653.109999999</v>
      </c>
      <c r="G286" s="77">
        <v>95356653.109999999</v>
      </c>
      <c r="H286" s="82">
        <v>0</v>
      </c>
      <c r="I286" s="60" t="s">
        <v>780</v>
      </c>
    </row>
    <row r="287" spans="1:9" ht="21.75" customHeight="1">
      <c r="A287" s="810"/>
      <c r="B287" s="12">
        <v>40472</v>
      </c>
      <c r="C287" s="14" t="s">
        <v>781</v>
      </c>
      <c r="D287" s="14" t="s">
        <v>782</v>
      </c>
      <c r="E287" s="14" t="s">
        <v>12</v>
      </c>
      <c r="F287" s="77">
        <v>3150</v>
      </c>
      <c r="G287" s="77">
        <v>3150</v>
      </c>
      <c r="H287" s="15">
        <v>0</v>
      </c>
      <c r="I287" s="52" t="s">
        <v>602</v>
      </c>
    </row>
    <row r="288" spans="1:9" ht="15.75" customHeight="1">
      <c r="A288" s="810"/>
      <c r="B288" s="12">
        <v>40472</v>
      </c>
      <c r="C288" s="14" t="s">
        <v>783</v>
      </c>
      <c r="D288" s="14" t="s">
        <v>784</v>
      </c>
      <c r="E288" s="14" t="s">
        <v>12</v>
      </c>
      <c r="F288" s="77">
        <v>244000</v>
      </c>
      <c r="G288" s="77">
        <v>244000</v>
      </c>
      <c r="H288" s="82">
        <v>0</v>
      </c>
      <c r="I288" s="60" t="s">
        <v>555</v>
      </c>
    </row>
    <row r="289" spans="1:9" ht="33.75" customHeight="1">
      <c r="A289" s="810"/>
      <c r="B289" s="12">
        <v>40472</v>
      </c>
      <c r="C289" s="14" t="s">
        <v>785</v>
      </c>
      <c r="D289" s="14" t="s">
        <v>786</v>
      </c>
      <c r="E289" s="14" t="s">
        <v>12</v>
      </c>
      <c r="F289" s="77">
        <v>0</v>
      </c>
      <c r="G289" s="77">
        <v>1300000</v>
      </c>
      <c r="H289" s="15">
        <v>0</v>
      </c>
      <c r="I289" s="52" t="s">
        <v>787</v>
      </c>
    </row>
    <row r="290" spans="1:9" ht="45" customHeight="1">
      <c r="A290" s="810"/>
      <c r="B290" s="12">
        <v>40472</v>
      </c>
      <c r="C290" s="14" t="s">
        <v>788</v>
      </c>
      <c r="D290" s="14" t="s">
        <v>789</v>
      </c>
      <c r="E290" s="14" t="s">
        <v>12</v>
      </c>
      <c r="F290" s="77">
        <v>0</v>
      </c>
      <c r="G290" s="77">
        <v>0</v>
      </c>
      <c r="H290" s="82">
        <v>8800</v>
      </c>
      <c r="I290" s="60" t="s">
        <v>790</v>
      </c>
    </row>
    <row r="291" spans="1:9" ht="23.25" customHeight="1">
      <c r="A291" s="810"/>
      <c r="B291" s="12">
        <v>40472</v>
      </c>
      <c r="C291" s="14" t="s">
        <v>791</v>
      </c>
      <c r="D291" s="14" t="s">
        <v>792</v>
      </c>
      <c r="E291" s="14" t="s">
        <v>12</v>
      </c>
      <c r="F291" s="77">
        <v>0</v>
      </c>
      <c r="G291" s="77">
        <v>0</v>
      </c>
      <c r="H291" s="15">
        <v>1150000</v>
      </c>
      <c r="I291" s="52" t="s">
        <v>793</v>
      </c>
    </row>
    <row r="292" spans="1:9" ht="22.5" customHeight="1">
      <c r="A292" s="810"/>
      <c r="B292" s="12">
        <v>40472</v>
      </c>
      <c r="C292" s="14" t="s">
        <v>794</v>
      </c>
      <c r="D292" s="14" t="s">
        <v>795</v>
      </c>
      <c r="E292" s="14" t="s">
        <v>12</v>
      </c>
      <c r="F292" s="77">
        <v>0</v>
      </c>
      <c r="G292" s="77">
        <v>0</v>
      </c>
      <c r="H292" s="82">
        <v>73005000</v>
      </c>
      <c r="I292" s="60" t="s">
        <v>796</v>
      </c>
    </row>
    <row r="293" spans="1:9" ht="24.75" customHeight="1">
      <c r="A293" s="810"/>
      <c r="B293" s="12">
        <v>40472</v>
      </c>
      <c r="C293" s="14" t="s">
        <v>797</v>
      </c>
      <c r="D293" s="14" t="s">
        <v>798</v>
      </c>
      <c r="E293" s="14" t="s">
        <v>12</v>
      </c>
      <c r="F293" s="77">
        <v>0</v>
      </c>
      <c r="G293" s="77">
        <v>0</v>
      </c>
      <c r="H293" s="15">
        <v>14840000</v>
      </c>
      <c r="I293" s="52" t="s">
        <v>799</v>
      </c>
    </row>
    <row r="294" spans="1:9" ht="21.75" customHeight="1">
      <c r="A294" s="810"/>
      <c r="B294" s="12">
        <v>40472</v>
      </c>
      <c r="C294" s="14" t="s">
        <v>800</v>
      </c>
      <c r="D294" s="14" t="s">
        <v>801</v>
      </c>
      <c r="E294" s="14" t="s">
        <v>12</v>
      </c>
      <c r="F294" s="77">
        <v>491470</v>
      </c>
      <c r="G294" s="77">
        <v>491470</v>
      </c>
      <c r="H294" s="82">
        <v>0</v>
      </c>
      <c r="I294" s="60" t="s">
        <v>802</v>
      </c>
    </row>
    <row r="295" spans="1:9" ht="33" customHeight="1">
      <c r="A295" s="810"/>
      <c r="B295" s="12">
        <v>40472</v>
      </c>
      <c r="C295" s="14" t="s">
        <v>803</v>
      </c>
      <c r="D295" s="14" t="s">
        <v>804</v>
      </c>
      <c r="E295" s="14" t="s">
        <v>12</v>
      </c>
      <c r="F295" s="77">
        <v>0</v>
      </c>
      <c r="G295" s="77">
        <v>0</v>
      </c>
      <c r="H295" s="15">
        <v>2879000</v>
      </c>
      <c r="I295" s="52" t="s">
        <v>805</v>
      </c>
    </row>
    <row r="296" spans="1:9" ht="33" customHeight="1">
      <c r="A296" s="810"/>
      <c r="B296" s="12">
        <v>40472</v>
      </c>
      <c r="C296" s="14" t="s">
        <v>806</v>
      </c>
      <c r="D296" s="14" t="s">
        <v>807</v>
      </c>
      <c r="E296" s="14" t="s">
        <v>12</v>
      </c>
      <c r="F296" s="77">
        <v>0</v>
      </c>
      <c r="G296" s="77">
        <v>0</v>
      </c>
      <c r="H296" s="82">
        <v>2940000</v>
      </c>
      <c r="I296" s="60" t="s">
        <v>808</v>
      </c>
    </row>
    <row r="297" spans="1:9" ht="21.75" customHeight="1">
      <c r="A297" s="810"/>
      <c r="B297" s="12">
        <v>40472</v>
      </c>
      <c r="C297" s="14" t="s">
        <v>809</v>
      </c>
      <c r="D297" s="14" t="s">
        <v>810</v>
      </c>
      <c r="E297" s="14" t="s">
        <v>12</v>
      </c>
      <c r="F297" s="77">
        <v>1866641</v>
      </c>
      <c r="G297" s="77">
        <v>1866641</v>
      </c>
      <c r="H297" s="15">
        <v>0</v>
      </c>
      <c r="I297" s="52" t="s">
        <v>419</v>
      </c>
    </row>
    <row r="298" spans="1:9" ht="21" customHeight="1">
      <c r="A298" s="810"/>
      <c r="B298" s="12">
        <v>40472</v>
      </c>
      <c r="C298" s="14" t="s">
        <v>811</v>
      </c>
      <c r="D298" s="14" t="s">
        <v>812</v>
      </c>
      <c r="E298" s="14" t="s">
        <v>12</v>
      </c>
      <c r="F298" s="77">
        <v>0</v>
      </c>
      <c r="G298" s="77">
        <v>0</v>
      </c>
      <c r="H298" s="82">
        <v>1389077</v>
      </c>
      <c r="I298" s="60" t="s">
        <v>813</v>
      </c>
    </row>
    <row r="299" spans="1:9" ht="42" customHeight="1" thickBot="1">
      <c r="A299" s="811"/>
      <c r="B299" s="17">
        <v>40472</v>
      </c>
      <c r="C299" s="19" t="s">
        <v>814</v>
      </c>
      <c r="D299" s="19" t="s">
        <v>815</v>
      </c>
      <c r="E299" s="19" t="s">
        <v>12</v>
      </c>
      <c r="F299" s="20">
        <v>1403328.8</v>
      </c>
      <c r="G299" s="20">
        <v>1403328.8</v>
      </c>
      <c r="H299" s="20">
        <v>0</v>
      </c>
      <c r="I299" s="55" t="s">
        <v>816</v>
      </c>
    </row>
    <row r="300" spans="1:9" ht="24.75" customHeight="1" thickBot="1">
      <c r="A300" s="83"/>
      <c r="B300" s="3" t="s">
        <v>1</v>
      </c>
      <c r="C300" s="5" t="s">
        <v>2</v>
      </c>
      <c r="D300" s="44" t="s">
        <v>3</v>
      </c>
      <c r="E300" s="5" t="s">
        <v>4</v>
      </c>
      <c r="F300" s="30" t="s">
        <v>5</v>
      </c>
      <c r="G300" s="5" t="s">
        <v>6</v>
      </c>
      <c r="H300" s="5" t="s">
        <v>7</v>
      </c>
      <c r="I300" s="6" t="s">
        <v>8</v>
      </c>
    </row>
    <row r="301" spans="1:9" ht="33" customHeight="1">
      <c r="A301" s="818" t="s">
        <v>817</v>
      </c>
      <c r="B301" s="7">
        <v>40472</v>
      </c>
      <c r="C301" s="9" t="s">
        <v>818</v>
      </c>
      <c r="D301" s="9" t="s">
        <v>819</v>
      </c>
      <c r="E301" s="9" t="s">
        <v>12</v>
      </c>
      <c r="F301" s="10">
        <v>0</v>
      </c>
      <c r="G301" s="10">
        <v>0</v>
      </c>
      <c r="H301" s="10">
        <v>3200000</v>
      </c>
      <c r="I301" s="71" t="s">
        <v>820</v>
      </c>
    </row>
    <row r="302" spans="1:9" ht="29.25" customHeight="1" thickBot="1">
      <c r="A302" s="819"/>
      <c r="B302" s="12">
        <v>40472</v>
      </c>
      <c r="C302" s="14" t="s">
        <v>821</v>
      </c>
      <c r="D302" s="14" t="s">
        <v>822</v>
      </c>
      <c r="E302" s="14" t="s">
        <v>12</v>
      </c>
      <c r="F302" s="15">
        <v>0</v>
      </c>
      <c r="G302" s="15">
        <v>0</v>
      </c>
      <c r="H302" s="15">
        <v>170400</v>
      </c>
      <c r="I302" s="52" t="s">
        <v>823</v>
      </c>
    </row>
    <row r="303" spans="1:9" ht="31.5" customHeight="1">
      <c r="A303" s="809" t="s">
        <v>824</v>
      </c>
      <c r="B303" s="42">
        <v>40493</v>
      </c>
      <c r="C303" s="34" t="s">
        <v>825</v>
      </c>
      <c r="D303" s="34" t="s">
        <v>826</v>
      </c>
      <c r="E303" s="34" t="s">
        <v>12</v>
      </c>
      <c r="F303" s="35">
        <v>4729546.8</v>
      </c>
      <c r="G303" s="35">
        <v>4729546.8</v>
      </c>
      <c r="H303" s="35">
        <v>678594.4</v>
      </c>
      <c r="I303" s="48" t="s">
        <v>827</v>
      </c>
    </row>
    <row r="304" spans="1:9" ht="20.399999999999999">
      <c r="A304" s="810"/>
      <c r="B304" s="12">
        <v>40493</v>
      </c>
      <c r="C304" s="14" t="s">
        <v>828</v>
      </c>
      <c r="D304" s="14" t="s">
        <v>829</v>
      </c>
      <c r="E304" s="14" t="s">
        <v>12</v>
      </c>
      <c r="F304" s="15">
        <v>0</v>
      </c>
      <c r="G304" s="15">
        <v>0</v>
      </c>
      <c r="H304" s="15">
        <v>200000</v>
      </c>
      <c r="I304" s="52" t="s">
        <v>830</v>
      </c>
    </row>
    <row r="305" spans="1:9" ht="20.399999999999999">
      <c r="A305" s="810"/>
      <c r="B305" s="12">
        <v>40493</v>
      </c>
      <c r="C305" s="14" t="s">
        <v>831</v>
      </c>
      <c r="D305" s="14" t="s">
        <v>832</v>
      </c>
      <c r="E305" s="14" t="s">
        <v>12</v>
      </c>
      <c r="F305" s="15">
        <v>0</v>
      </c>
      <c r="G305" s="15">
        <v>0</v>
      </c>
      <c r="H305" s="15">
        <v>300000</v>
      </c>
      <c r="I305" s="52" t="s">
        <v>833</v>
      </c>
    </row>
    <row r="306" spans="1:9" ht="30.6">
      <c r="A306" s="810"/>
      <c r="B306" s="12">
        <v>40493</v>
      </c>
      <c r="C306" s="14" t="s">
        <v>834</v>
      </c>
      <c r="D306" s="14" t="s">
        <v>835</v>
      </c>
      <c r="E306" s="14" t="s">
        <v>12</v>
      </c>
      <c r="F306" s="15">
        <v>0</v>
      </c>
      <c r="G306" s="15">
        <v>1232000</v>
      </c>
      <c r="H306" s="15">
        <v>0</v>
      </c>
      <c r="I306" s="52" t="s">
        <v>836</v>
      </c>
    </row>
    <row r="307" spans="1:9" ht="20.399999999999999">
      <c r="A307" s="810"/>
      <c r="B307" s="12">
        <v>40493</v>
      </c>
      <c r="C307" s="14" t="s">
        <v>837</v>
      </c>
      <c r="D307" s="14" t="s">
        <v>838</v>
      </c>
      <c r="E307" s="14" t="s">
        <v>12</v>
      </c>
      <c r="F307" s="15">
        <v>0</v>
      </c>
      <c r="G307" s="15">
        <v>0</v>
      </c>
      <c r="H307" s="15">
        <v>2400000</v>
      </c>
      <c r="I307" s="52" t="s">
        <v>839</v>
      </c>
    </row>
    <row r="308" spans="1:9" ht="51">
      <c r="A308" s="810"/>
      <c r="B308" s="12">
        <v>40493</v>
      </c>
      <c r="C308" s="14" t="s">
        <v>840</v>
      </c>
      <c r="D308" s="14" t="s">
        <v>841</v>
      </c>
      <c r="E308" s="14" t="s">
        <v>12</v>
      </c>
      <c r="F308" s="15">
        <v>0</v>
      </c>
      <c r="G308" s="15">
        <v>265000</v>
      </c>
      <c r="H308" s="15">
        <v>30000</v>
      </c>
      <c r="I308" s="52" t="s">
        <v>842</v>
      </c>
    </row>
    <row r="309" spans="1:9" ht="20.399999999999999">
      <c r="A309" s="810"/>
      <c r="B309" s="12">
        <v>40493</v>
      </c>
      <c r="C309" s="14" t="s">
        <v>843</v>
      </c>
      <c r="D309" s="14" t="s">
        <v>844</v>
      </c>
      <c r="E309" s="14" t="s">
        <v>12</v>
      </c>
      <c r="F309" s="15">
        <v>38257.26</v>
      </c>
      <c r="G309" s="15">
        <v>38257.26</v>
      </c>
      <c r="H309" s="15">
        <v>0</v>
      </c>
      <c r="I309" s="52" t="s">
        <v>845</v>
      </c>
    </row>
    <row r="310" spans="1:9" ht="20.399999999999999">
      <c r="A310" s="810"/>
      <c r="B310" s="12">
        <v>40493</v>
      </c>
      <c r="C310" s="14" t="s">
        <v>846</v>
      </c>
      <c r="D310" s="14" t="s">
        <v>847</v>
      </c>
      <c r="E310" s="14" t="s">
        <v>12</v>
      </c>
      <c r="F310" s="15">
        <v>653000</v>
      </c>
      <c r="G310" s="15">
        <v>653000</v>
      </c>
      <c r="H310" s="15">
        <v>0</v>
      </c>
      <c r="I310" s="52" t="s">
        <v>848</v>
      </c>
    </row>
    <row r="311" spans="1:9" ht="30.6">
      <c r="A311" s="810"/>
      <c r="B311" s="12">
        <v>40493</v>
      </c>
      <c r="C311" s="14" t="s">
        <v>849</v>
      </c>
      <c r="D311" s="14" t="s">
        <v>850</v>
      </c>
      <c r="E311" s="14" t="s">
        <v>12</v>
      </c>
      <c r="F311" s="15">
        <v>0</v>
      </c>
      <c r="G311" s="15">
        <v>0</v>
      </c>
      <c r="H311" s="15">
        <v>105000</v>
      </c>
      <c r="I311" s="52" t="s">
        <v>851</v>
      </c>
    </row>
    <row r="312" spans="1:9" ht="30.6">
      <c r="A312" s="810"/>
      <c r="B312" s="12">
        <v>40493</v>
      </c>
      <c r="C312" s="14" t="s">
        <v>852</v>
      </c>
      <c r="D312" s="14" t="s">
        <v>853</v>
      </c>
      <c r="E312" s="14" t="s">
        <v>12</v>
      </c>
      <c r="F312" s="15">
        <v>0</v>
      </c>
      <c r="G312" s="15">
        <v>0</v>
      </c>
      <c r="H312" s="15">
        <v>611330</v>
      </c>
      <c r="I312" s="52" t="s">
        <v>854</v>
      </c>
    </row>
    <row r="313" spans="1:9" ht="20.399999999999999">
      <c r="A313" s="810"/>
      <c r="B313" s="12">
        <v>40493</v>
      </c>
      <c r="C313" s="14" t="s">
        <v>855</v>
      </c>
      <c r="D313" s="14" t="s">
        <v>856</v>
      </c>
      <c r="E313" s="14" t="s">
        <v>12</v>
      </c>
      <c r="F313" s="15">
        <v>260000</v>
      </c>
      <c r="G313" s="15">
        <v>260000</v>
      </c>
      <c r="H313" s="15">
        <v>0</v>
      </c>
      <c r="I313" s="52" t="s">
        <v>857</v>
      </c>
    </row>
    <row r="314" spans="1:9" ht="30.6">
      <c r="A314" s="810"/>
      <c r="B314" s="12">
        <v>40493</v>
      </c>
      <c r="C314" s="14" t="s">
        <v>858</v>
      </c>
      <c r="D314" s="14" t="s">
        <v>859</v>
      </c>
      <c r="E314" s="14" t="s">
        <v>12</v>
      </c>
      <c r="F314" s="15">
        <v>0</v>
      </c>
      <c r="G314" s="15">
        <v>0</v>
      </c>
      <c r="H314" s="15">
        <v>994000</v>
      </c>
      <c r="I314" s="52" t="s">
        <v>860</v>
      </c>
    </row>
    <row r="315" spans="1:9" ht="21" customHeight="1" thickBot="1">
      <c r="A315" s="811"/>
      <c r="B315" s="17">
        <v>40493</v>
      </c>
      <c r="C315" s="19" t="s">
        <v>861</v>
      </c>
      <c r="D315" s="19" t="s">
        <v>862</v>
      </c>
      <c r="E315" s="19" t="s">
        <v>12</v>
      </c>
      <c r="F315" s="20">
        <v>0</v>
      </c>
      <c r="G315" s="20">
        <v>0</v>
      </c>
      <c r="H315" s="20">
        <v>1270000</v>
      </c>
      <c r="I315" s="55" t="s">
        <v>863</v>
      </c>
    </row>
    <row r="316" spans="1:9" ht="24.75" customHeight="1" thickBot="1">
      <c r="A316" s="83"/>
      <c r="B316" s="3" t="s">
        <v>1</v>
      </c>
      <c r="C316" s="5" t="s">
        <v>2</v>
      </c>
      <c r="D316" s="44" t="s">
        <v>3</v>
      </c>
      <c r="E316" s="5" t="s">
        <v>4</v>
      </c>
      <c r="F316" s="30" t="s">
        <v>5</v>
      </c>
      <c r="G316" s="5" t="s">
        <v>6</v>
      </c>
      <c r="H316" s="5" t="s">
        <v>7</v>
      </c>
      <c r="I316" s="6" t="s">
        <v>8</v>
      </c>
    </row>
    <row r="317" spans="1:9" ht="30.6">
      <c r="A317" s="809" t="s">
        <v>824</v>
      </c>
      <c r="B317" s="7">
        <v>40493</v>
      </c>
      <c r="C317" s="9" t="s">
        <v>864</v>
      </c>
      <c r="D317" s="9" t="s">
        <v>865</v>
      </c>
      <c r="E317" s="9" t="s">
        <v>12</v>
      </c>
      <c r="F317" s="10">
        <v>0</v>
      </c>
      <c r="G317" s="10">
        <v>0</v>
      </c>
      <c r="H317" s="10">
        <v>1112144</v>
      </c>
      <c r="I317" s="71" t="s">
        <v>866</v>
      </c>
    </row>
    <row r="318" spans="1:9" ht="20.399999999999999">
      <c r="A318" s="810"/>
      <c r="B318" s="12">
        <v>40493</v>
      </c>
      <c r="C318" s="14" t="s">
        <v>867</v>
      </c>
      <c r="D318" s="14" t="s">
        <v>868</v>
      </c>
      <c r="E318" s="14" t="s">
        <v>12</v>
      </c>
      <c r="F318" s="15">
        <v>0</v>
      </c>
      <c r="G318" s="15">
        <v>0</v>
      </c>
      <c r="H318" s="15">
        <v>1170000</v>
      </c>
      <c r="I318" s="52" t="s">
        <v>808</v>
      </c>
    </row>
    <row r="319" spans="1:9" ht="20.399999999999999">
      <c r="A319" s="810"/>
      <c r="B319" s="12">
        <v>40493</v>
      </c>
      <c r="C319" s="14" t="s">
        <v>869</v>
      </c>
      <c r="D319" s="14" t="s">
        <v>870</v>
      </c>
      <c r="E319" s="14" t="s">
        <v>12</v>
      </c>
      <c r="F319" s="15">
        <v>8746092.4000000004</v>
      </c>
      <c r="G319" s="15">
        <v>8746092.4000000004</v>
      </c>
      <c r="H319" s="15">
        <v>0</v>
      </c>
      <c r="I319" s="52" t="s">
        <v>871</v>
      </c>
    </row>
    <row r="320" spans="1:9" ht="30.6">
      <c r="A320" s="810"/>
      <c r="B320" s="12">
        <v>40493</v>
      </c>
      <c r="C320" s="14" t="s">
        <v>872</v>
      </c>
      <c r="D320" s="14" t="s">
        <v>873</v>
      </c>
      <c r="E320" s="14" t="s">
        <v>12</v>
      </c>
      <c r="F320" s="15">
        <v>0</v>
      </c>
      <c r="G320" s="15">
        <v>0</v>
      </c>
      <c r="H320" s="15">
        <v>7770251.71</v>
      </c>
      <c r="I320" s="52" t="s">
        <v>874</v>
      </c>
    </row>
    <row r="321" spans="1:9" ht="20.399999999999999">
      <c r="A321" s="810"/>
      <c r="B321" s="12">
        <v>40493</v>
      </c>
      <c r="C321" s="14" t="s">
        <v>875</v>
      </c>
      <c r="D321" s="14" t="s">
        <v>876</v>
      </c>
      <c r="E321" s="14" t="s">
        <v>12</v>
      </c>
      <c r="F321" s="15">
        <v>0</v>
      </c>
      <c r="G321" s="15">
        <v>0</v>
      </c>
      <c r="H321" s="15">
        <v>3963747</v>
      </c>
      <c r="I321" s="52" t="s">
        <v>877</v>
      </c>
    </row>
    <row r="322" spans="1:9" ht="20.399999999999999">
      <c r="A322" s="810"/>
      <c r="B322" s="12">
        <v>40507</v>
      </c>
      <c r="C322" s="14" t="s">
        <v>878</v>
      </c>
      <c r="D322" s="14" t="s">
        <v>879</v>
      </c>
      <c r="E322" s="14" t="s">
        <v>12</v>
      </c>
      <c r="F322" s="15">
        <v>355600.25</v>
      </c>
      <c r="G322" s="15">
        <v>355600.25</v>
      </c>
      <c r="H322" s="15">
        <v>0</v>
      </c>
      <c r="I322" s="52" t="s">
        <v>181</v>
      </c>
    </row>
    <row r="323" spans="1:9">
      <c r="A323" s="810"/>
      <c r="B323" s="12">
        <v>40507</v>
      </c>
      <c r="C323" s="14" t="s">
        <v>880</v>
      </c>
      <c r="D323" s="14" t="s">
        <v>881</v>
      </c>
      <c r="E323" s="14" t="s">
        <v>12</v>
      </c>
      <c r="F323" s="15">
        <v>860268</v>
      </c>
      <c r="G323" s="15">
        <v>860268</v>
      </c>
      <c r="H323" s="15">
        <v>0</v>
      </c>
      <c r="I323" s="52" t="s">
        <v>882</v>
      </c>
    </row>
    <row r="324" spans="1:9">
      <c r="A324" s="810"/>
      <c r="B324" s="12">
        <v>40507</v>
      </c>
      <c r="C324" s="14" t="s">
        <v>883</v>
      </c>
      <c r="D324" s="14" t="s">
        <v>884</v>
      </c>
      <c r="E324" s="14" t="s">
        <v>12</v>
      </c>
      <c r="F324" s="15">
        <v>20200000</v>
      </c>
      <c r="G324" s="15">
        <v>20200000</v>
      </c>
      <c r="H324" s="15">
        <v>0</v>
      </c>
      <c r="I324" s="52" t="s">
        <v>222</v>
      </c>
    </row>
    <row r="325" spans="1:9" ht="23.25" customHeight="1">
      <c r="A325" s="810"/>
      <c r="B325" s="12">
        <v>40507</v>
      </c>
      <c r="C325" s="14" t="s">
        <v>885</v>
      </c>
      <c r="D325" s="14" t="s">
        <v>886</v>
      </c>
      <c r="E325" s="14" t="s">
        <v>12</v>
      </c>
      <c r="F325" s="15">
        <v>0</v>
      </c>
      <c r="G325" s="15">
        <v>0</v>
      </c>
      <c r="H325" s="15">
        <v>6118438</v>
      </c>
      <c r="I325" s="52" t="s">
        <v>887</v>
      </c>
    </row>
    <row r="326" spans="1:9" ht="20.399999999999999">
      <c r="A326" s="810"/>
      <c r="B326" s="12">
        <v>40507</v>
      </c>
      <c r="C326" s="14" t="s">
        <v>888</v>
      </c>
      <c r="D326" s="14" t="s">
        <v>889</v>
      </c>
      <c r="E326" s="14" t="s">
        <v>12</v>
      </c>
      <c r="F326" s="15">
        <v>0</v>
      </c>
      <c r="G326" s="15">
        <v>0</v>
      </c>
      <c r="H326" s="15">
        <v>900000</v>
      </c>
      <c r="I326" s="52" t="s">
        <v>890</v>
      </c>
    </row>
    <row r="327" spans="1:9" ht="20.399999999999999">
      <c r="A327" s="810"/>
      <c r="B327" s="12">
        <v>40507</v>
      </c>
      <c r="C327" s="14" t="s">
        <v>891</v>
      </c>
      <c r="D327" s="14" t="s">
        <v>892</v>
      </c>
      <c r="E327" s="14" t="s">
        <v>12</v>
      </c>
      <c r="F327" s="15">
        <v>0</v>
      </c>
      <c r="G327" s="15">
        <v>0</v>
      </c>
      <c r="H327" s="15">
        <v>392000</v>
      </c>
      <c r="I327" s="52" t="s">
        <v>893</v>
      </c>
    </row>
    <row r="328" spans="1:9" ht="20.399999999999999">
      <c r="A328" s="810"/>
      <c r="B328" s="12">
        <v>40507</v>
      </c>
      <c r="C328" s="14" t="s">
        <v>894</v>
      </c>
      <c r="D328" s="14" t="s">
        <v>895</v>
      </c>
      <c r="E328" s="14" t="s">
        <v>12</v>
      </c>
      <c r="F328" s="15">
        <v>0</v>
      </c>
      <c r="G328" s="15">
        <v>0</v>
      </c>
      <c r="H328" s="15">
        <v>30099.97</v>
      </c>
      <c r="I328" s="52" t="s">
        <v>896</v>
      </c>
    </row>
    <row r="329" spans="1:9" ht="20.399999999999999">
      <c r="A329" s="810"/>
      <c r="B329" s="12">
        <v>40507</v>
      </c>
      <c r="C329" s="14" t="s">
        <v>897</v>
      </c>
      <c r="D329" s="14" t="s">
        <v>898</v>
      </c>
      <c r="E329" s="14" t="s">
        <v>12</v>
      </c>
      <c r="F329" s="15">
        <v>0</v>
      </c>
      <c r="G329" s="15">
        <v>0</v>
      </c>
      <c r="H329" s="15">
        <v>525000</v>
      </c>
      <c r="I329" s="52" t="s">
        <v>899</v>
      </c>
    </row>
    <row r="330" spans="1:9" ht="20.399999999999999">
      <c r="A330" s="810"/>
      <c r="B330" s="12">
        <v>40507</v>
      </c>
      <c r="C330" s="14" t="s">
        <v>900</v>
      </c>
      <c r="D330" s="14" t="s">
        <v>901</v>
      </c>
      <c r="E330" s="14" t="s">
        <v>12</v>
      </c>
      <c r="F330" s="15">
        <v>0</v>
      </c>
      <c r="G330" s="15">
        <v>0</v>
      </c>
      <c r="H330" s="15">
        <v>2200000</v>
      </c>
      <c r="I330" s="52" t="s">
        <v>902</v>
      </c>
    </row>
    <row r="331" spans="1:9" ht="20.399999999999999">
      <c r="A331" s="810"/>
      <c r="B331" s="12">
        <v>40507</v>
      </c>
      <c r="C331" s="14" t="s">
        <v>903</v>
      </c>
      <c r="D331" s="14" t="s">
        <v>904</v>
      </c>
      <c r="E331" s="14" t="s">
        <v>12</v>
      </c>
      <c r="F331" s="15">
        <v>290268.59999999998</v>
      </c>
      <c r="G331" s="15">
        <v>290268.59999999998</v>
      </c>
      <c r="H331" s="15">
        <v>0</v>
      </c>
      <c r="I331" s="52" t="s">
        <v>905</v>
      </c>
    </row>
    <row r="332" spans="1:9">
      <c r="A332" s="810"/>
      <c r="B332" s="12">
        <v>40507</v>
      </c>
      <c r="C332" s="14" t="s">
        <v>906</v>
      </c>
      <c r="D332" s="14" t="s">
        <v>907</v>
      </c>
      <c r="E332" s="14" t="s">
        <v>12</v>
      </c>
      <c r="F332" s="15">
        <v>326463</v>
      </c>
      <c r="G332" s="15">
        <v>326463</v>
      </c>
      <c r="H332" s="15">
        <v>0</v>
      </c>
      <c r="I332" s="52" t="s">
        <v>908</v>
      </c>
    </row>
    <row r="333" spans="1:9" ht="20.399999999999999">
      <c r="A333" s="810"/>
      <c r="B333" s="12">
        <v>40507</v>
      </c>
      <c r="C333" s="14" t="s">
        <v>909</v>
      </c>
      <c r="D333" s="14" t="s">
        <v>910</v>
      </c>
      <c r="E333" s="14" t="s">
        <v>12</v>
      </c>
      <c r="F333" s="15">
        <v>862067</v>
      </c>
      <c r="G333" s="15">
        <v>862067</v>
      </c>
      <c r="H333" s="15">
        <v>0</v>
      </c>
      <c r="I333" s="52" t="s">
        <v>419</v>
      </c>
    </row>
    <row r="334" spans="1:9" ht="20.399999999999999">
      <c r="A334" s="810"/>
      <c r="B334" s="12">
        <v>40507</v>
      </c>
      <c r="C334" s="14" t="s">
        <v>911</v>
      </c>
      <c r="D334" s="14" t="s">
        <v>912</v>
      </c>
      <c r="E334" s="14" t="s">
        <v>12</v>
      </c>
      <c r="F334" s="15">
        <v>0</v>
      </c>
      <c r="G334" s="15">
        <v>0</v>
      </c>
      <c r="H334" s="15">
        <v>208075.24</v>
      </c>
      <c r="I334" s="52" t="s">
        <v>913</v>
      </c>
    </row>
    <row r="335" spans="1:9" ht="20.399999999999999">
      <c r="A335" s="810"/>
      <c r="B335" s="12">
        <v>40507</v>
      </c>
      <c r="C335" s="14" t="s">
        <v>914</v>
      </c>
      <c r="D335" s="14" t="s">
        <v>915</v>
      </c>
      <c r="E335" s="14" t="s">
        <v>12</v>
      </c>
      <c r="F335" s="15">
        <v>14348734.279999999</v>
      </c>
      <c r="G335" s="15">
        <v>14348734.279999999</v>
      </c>
      <c r="H335" s="15">
        <v>0</v>
      </c>
      <c r="I335" s="52" t="s">
        <v>916</v>
      </c>
    </row>
    <row r="336" spans="1:9" ht="21" thickBot="1">
      <c r="A336" s="811"/>
      <c r="B336" s="17">
        <v>40507</v>
      </c>
      <c r="C336" s="19" t="s">
        <v>917</v>
      </c>
      <c r="D336" s="19" t="s">
        <v>918</v>
      </c>
      <c r="E336" s="19" t="s">
        <v>12</v>
      </c>
      <c r="F336" s="20">
        <v>0</v>
      </c>
      <c r="G336" s="20">
        <v>-3300000</v>
      </c>
      <c r="H336" s="20">
        <v>0</v>
      </c>
      <c r="I336" s="55" t="s">
        <v>919</v>
      </c>
    </row>
    <row r="337" spans="1:9" ht="24.75" customHeight="1" thickBot="1">
      <c r="A337" s="83"/>
      <c r="B337" s="3" t="s">
        <v>1</v>
      </c>
      <c r="C337" s="5" t="s">
        <v>2</v>
      </c>
      <c r="D337" s="44" t="s">
        <v>3</v>
      </c>
      <c r="E337" s="5" t="s">
        <v>4</v>
      </c>
      <c r="F337" s="30" t="s">
        <v>5</v>
      </c>
      <c r="G337" s="5" t="s">
        <v>6</v>
      </c>
      <c r="H337" s="5" t="s">
        <v>7</v>
      </c>
      <c r="I337" s="6" t="s">
        <v>8</v>
      </c>
    </row>
    <row r="338" spans="1:9" ht="30.6">
      <c r="A338" s="809" t="s">
        <v>824</v>
      </c>
      <c r="B338" s="7">
        <v>40507</v>
      </c>
      <c r="C338" s="9" t="s">
        <v>920</v>
      </c>
      <c r="D338" s="9" t="s">
        <v>921</v>
      </c>
      <c r="E338" s="9" t="s">
        <v>12</v>
      </c>
      <c r="F338" s="10">
        <v>0</v>
      </c>
      <c r="G338" s="10">
        <v>0</v>
      </c>
      <c r="H338" s="10">
        <v>1000000</v>
      </c>
      <c r="I338" s="71" t="s">
        <v>922</v>
      </c>
    </row>
    <row r="339" spans="1:9" ht="30.6">
      <c r="A339" s="810"/>
      <c r="B339" s="12">
        <v>40507</v>
      </c>
      <c r="C339" s="14" t="s">
        <v>923</v>
      </c>
      <c r="D339" s="14" t="s">
        <v>924</v>
      </c>
      <c r="E339" s="14" t="s">
        <v>12</v>
      </c>
      <c r="F339" s="15">
        <v>463386</v>
      </c>
      <c r="G339" s="15">
        <v>463386</v>
      </c>
      <c r="H339" s="15">
        <v>0</v>
      </c>
      <c r="I339" s="52" t="s">
        <v>925</v>
      </c>
    </row>
    <row r="340" spans="1:9" ht="20.399999999999999">
      <c r="A340" s="810"/>
      <c r="B340" s="12">
        <v>40507</v>
      </c>
      <c r="C340" s="14" t="s">
        <v>926</v>
      </c>
      <c r="D340" s="14" t="s">
        <v>927</v>
      </c>
      <c r="E340" s="14" t="s">
        <v>12</v>
      </c>
      <c r="F340" s="15">
        <v>0</v>
      </c>
      <c r="G340" s="15">
        <v>0</v>
      </c>
      <c r="H340" s="15">
        <v>3600000</v>
      </c>
      <c r="I340" s="52" t="s">
        <v>928</v>
      </c>
    </row>
    <row r="341" spans="1:9" ht="30.6">
      <c r="A341" s="810"/>
      <c r="B341" s="12">
        <v>40507</v>
      </c>
      <c r="C341" s="14" t="s">
        <v>929</v>
      </c>
      <c r="D341" s="14" t="s">
        <v>930</v>
      </c>
      <c r="E341" s="14" t="s">
        <v>12</v>
      </c>
      <c r="F341" s="15">
        <v>0</v>
      </c>
      <c r="G341" s="15">
        <v>970000</v>
      </c>
      <c r="H341" s="15">
        <v>0</v>
      </c>
      <c r="I341" s="52" t="s">
        <v>931</v>
      </c>
    </row>
    <row r="342" spans="1:9" ht="20.399999999999999">
      <c r="A342" s="810"/>
      <c r="B342" s="12">
        <v>40507</v>
      </c>
      <c r="C342" s="14" t="s">
        <v>932</v>
      </c>
      <c r="D342" s="14" t="s">
        <v>933</v>
      </c>
      <c r="E342" s="14" t="s">
        <v>12</v>
      </c>
      <c r="F342" s="15">
        <v>0</v>
      </c>
      <c r="G342" s="15">
        <v>0</v>
      </c>
      <c r="H342" s="15">
        <v>918000</v>
      </c>
      <c r="I342" s="52" t="s">
        <v>934</v>
      </c>
    </row>
    <row r="343" spans="1:9" ht="30.6">
      <c r="A343" s="810"/>
      <c r="B343" s="12">
        <v>40507</v>
      </c>
      <c r="C343" s="14" t="s">
        <v>935</v>
      </c>
      <c r="D343" s="14" t="s">
        <v>936</v>
      </c>
      <c r="E343" s="14" t="s">
        <v>12</v>
      </c>
      <c r="F343" s="15">
        <v>0</v>
      </c>
      <c r="G343" s="15">
        <v>0</v>
      </c>
      <c r="H343" s="15">
        <v>913500</v>
      </c>
      <c r="I343" s="52" t="s">
        <v>937</v>
      </c>
    </row>
    <row r="344" spans="1:9" ht="20.399999999999999">
      <c r="A344" s="810"/>
      <c r="B344" s="12">
        <v>40507</v>
      </c>
      <c r="C344" s="14" t="s">
        <v>938</v>
      </c>
      <c r="D344" s="14" t="s">
        <v>939</v>
      </c>
      <c r="E344" s="14" t="s">
        <v>12</v>
      </c>
      <c r="F344" s="15">
        <v>-56425000</v>
      </c>
      <c r="G344" s="15">
        <v>-56425000</v>
      </c>
      <c r="H344" s="15">
        <v>0</v>
      </c>
      <c r="I344" s="52" t="s">
        <v>940</v>
      </c>
    </row>
    <row r="345" spans="1:9" ht="20.399999999999999">
      <c r="A345" s="810"/>
      <c r="B345" s="12">
        <v>40507</v>
      </c>
      <c r="C345" s="14" t="s">
        <v>941</v>
      </c>
      <c r="D345" s="14" t="s">
        <v>942</v>
      </c>
      <c r="E345" s="14" t="s">
        <v>12</v>
      </c>
      <c r="F345" s="15">
        <v>0</v>
      </c>
      <c r="G345" s="15">
        <v>464000</v>
      </c>
      <c r="H345" s="15">
        <v>0</v>
      </c>
      <c r="I345" s="52" t="s">
        <v>943</v>
      </c>
    </row>
    <row r="346" spans="1:9" ht="20.399999999999999">
      <c r="A346" s="810"/>
      <c r="B346" s="12">
        <v>40507</v>
      </c>
      <c r="C346" s="14" t="s">
        <v>944</v>
      </c>
      <c r="D346" s="14" t="s">
        <v>945</v>
      </c>
      <c r="E346" s="14" t="s">
        <v>12</v>
      </c>
      <c r="F346" s="15">
        <v>0</v>
      </c>
      <c r="G346" s="15">
        <v>0</v>
      </c>
      <c r="H346" s="15">
        <v>680000</v>
      </c>
      <c r="I346" s="52" t="s">
        <v>946</v>
      </c>
    </row>
    <row r="347" spans="1:9" ht="20.399999999999999">
      <c r="A347" s="810"/>
      <c r="B347" s="12">
        <v>40507</v>
      </c>
      <c r="C347" s="14" t="s">
        <v>947</v>
      </c>
      <c r="D347" s="14" t="s">
        <v>948</v>
      </c>
      <c r="E347" s="14" t="s">
        <v>12</v>
      </c>
      <c r="F347" s="15">
        <v>97365500</v>
      </c>
      <c r="G347" s="15">
        <v>15000000</v>
      </c>
      <c r="H347" s="15">
        <v>0</v>
      </c>
      <c r="I347" s="52" t="s">
        <v>949</v>
      </c>
    </row>
    <row r="348" spans="1:9" ht="44.25" customHeight="1">
      <c r="A348" s="810"/>
      <c r="B348" s="12">
        <v>40507</v>
      </c>
      <c r="C348" s="14" t="s">
        <v>950</v>
      </c>
      <c r="D348" s="14" t="s">
        <v>951</v>
      </c>
      <c r="E348" s="14" t="s">
        <v>12</v>
      </c>
      <c r="F348" s="15">
        <v>0</v>
      </c>
      <c r="G348" s="15">
        <v>547605</v>
      </c>
      <c r="H348" s="15">
        <f>2411195+755200</f>
        <v>3166395</v>
      </c>
      <c r="I348" s="52" t="s">
        <v>952</v>
      </c>
    </row>
    <row r="349" spans="1:9" ht="22.5" customHeight="1">
      <c r="A349" s="810"/>
      <c r="B349" s="12">
        <v>40507</v>
      </c>
      <c r="C349" s="14" t="s">
        <v>953</v>
      </c>
      <c r="D349" s="14" t="s">
        <v>954</v>
      </c>
      <c r="E349" s="14" t="s">
        <v>12</v>
      </c>
      <c r="F349" s="15">
        <v>196000</v>
      </c>
      <c r="G349" s="15">
        <v>196000</v>
      </c>
      <c r="H349" s="15">
        <f>241200+54800+240000</f>
        <v>536000</v>
      </c>
      <c r="I349" s="52" t="s">
        <v>955</v>
      </c>
    </row>
    <row r="350" spans="1:9" ht="21" customHeight="1">
      <c r="A350" s="810"/>
      <c r="B350" s="12">
        <v>40507</v>
      </c>
      <c r="C350" s="14" t="s">
        <v>956</v>
      </c>
      <c r="D350" s="14" t="s">
        <v>957</v>
      </c>
      <c r="E350" s="14" t="s">
        <v>12</v>
      </c>
      <c r="F350" s="15">
        <v>0</v>
      </c>
      <c r="G350" s="15">
        <v>0</v>
      </c>
      <c r="H350" s="15">
        <f>220000+240000+578400</f>
        <v>1038400</v>
      </c>
      <c r="I350" s="52" t="s">
        <v>958</v>
      </c>
    </row>
    <row r="351" spans="1:9" ht="20.399999999999999">
      <c r="A351" s="810"/>
      <c r="B351" s="12">
        <v>40521</v>
      </c>
      <c r="C351" s="14" t="s">
        <v>959</v>
      </c>
      <c r="D351" s="14" t="s">
        <v>960</v>
      </c>
      <c r="E351" s="14" t="s">
        <v>12</v>
      </c>
      <c r="F351" s="15">
        <v>0</v>
      </c>
      <c r="G351" s="15">
        <v>0</v>
      </c>
      <c r="H351" s="15">
        <v>798120</v>
      </c>
      <c r="I351" s="52" t="s">
        <v>961</v>
      </c>
    </row>
    <row r="352" spans="1:9" ht="20.399999999999999">
      <c r="A352" s="810"/>
      <c r="B352" s="12">
        <v>40521</v>
      </c>
      <c r="C352" s="14" t="s">
        <v>962</v>
      </c>
      <c r="D352" s="14" t="s">
        <v>963</v>
      </c>
      <c r="E352" s="14" t="s">
        <v>12</v>
      </c>
      <c r="F352" s="15">
        <v>0</v>
      </c>
      <c r="G352" s="15">
        <v>0</v>
      </c>
      <c r="H352" s="15">
        <v>24720</v>
      </c>
      <c r="I352" s="52" t="s">
        <v>964</v>
      </c>
    </row>
    <row r="353" spans="1:9" ht="20.399999999999999">
      <c r="A353" s="810"/>
      <c r="B353" s="12">
        <v>40521</v>
      </c>
      <c r="C353" s="14" t="s">
        <v>965</v>
      </c>
      <c r="D353" s="14" t="s">
        <v>966</v>
      </c>
      <c r="E353" s="14" t="s">
        <v>12</v>
      </c>
      <c r="F353" s="15">
        <v>275</v>
      </c>
      <c r="G353" s="15">
        <v>275</v>
      </c>
      <c r="H353" s="15">
        <v>0</v>
      </c>
      <c r="I353" s="52" t="s">
        <v>602</v>
      </c>
    </row>
    <row r="354" spans="1:9" ht="21" thickBot="1">
      <c r="A354" s="811"/>
      <c r="B354" s="17">
        <v>40521</v>
      </c>
      <c r="C354" s="19" t="s">
        <v>967</v>
      </c>
      <c r="D354" s="19" t="s">
        <v>968</v>
      </c>
      <c r="E354" s="19" t="s">
        <v>12</v>
      </c>
      <c r="F354" s="20">
        <v>57239</v>
      </c>
      <c r="G354" s="20">
        <v>57239</v>
      </c>
      <c r="H354" s="20">
        <v>0</v>
      </c>
      <c r="I354" s="55" t="s">
        <v>969</v>
      </c>
    </row>
    <row r="355" spans="1:9" ht="24.75" customHeight="1" thickBot="1">
      <c r="A355" s="83"/>
      <c r="B355" s="3" t="s">
        <v>1</v>
      </c>
      <c r="C355" s="5" t="s">
        <v>2</v>
      </c>
      <c r="D355" s="44" t="s">
        <v>3</v>
      </c>
      <c r="E355" s="5" t="s">
        <v>4</v>
      </c>
      <c r="F355" s="30" t="s">
        <v>5</v>
      </c>
      <c r="G355" s="5" t="s">
        <v>6</v>
      </c>
      <c r="H355" s="5" t="s">
        <v>7</v>
      </c>
      <c r="I355" s="6" t="s">
        <v>8</v>
      </c>
    </row>
    <row r="356" spans="1:9" ht="20.399999999999999">
      <c r="A356" s="809" t="s">
        <v>824</v>
      </c>
      <c r="B356" s="7">
        <v>40521</v>
      </c>
      <c r="C356" s="9" t="s">
        <v>970</v>
      </c>
      <c r="D356" s="9" t="s">
        <v>971</v>
      </c>
      <c r="E356" s="9" t="s">
        <v>12</v>
      </c>
      <c r="F356" s="10">
        <v>0</v>
      </c>
      <c r="G356" s="10">
        <v>0</v>
      </c>
      <c r="H356" s="10">
        <v>800000</v>
      </c>
      <c r="I356" s="71" t="s">
        <v>972</v>
      </c>
    </row>
    <row r="357" spans="1:9" ht="20.399999999999999">
      <c r="A357" s="810"/>
      <c r="B357" s="12">
        <v>40521</v>
      </c>
      <c r="C357" s="14" t="s">
        <v>973</v>
      </c>
      <c r="D357" s="14" t="s">
        <v>974</v>
      </c>
      <c r="E357" s="14" t="s">
        <v>12</v>
      </c>
      <c r="F357" s="15">
        <v>0</v>
      </c>
      <c r="G357" s="15">
        <v>0</v>
      </c>
      <c r="H357" s="15">
        <v>355100</v>
      </c>
      <c r="I357" s="52" t="s">
        <v>975</v>
      </c>
    </row>
    <row r="358" spans="1:9" ht="51">
      <c r="A358" s="810"/>
      <c r="B358" s="12">
        <v>40521</v>
      </c>
      <c r="C358" s="14" t="s">
        <v>976</v>
      </c>
      <c r="D358" s="14" t="s">
        <v>977</v>
      </c>
      <c r="E358" s="14" t="s">
        <v>12</v>
      </c>
      <c r="F358" s="15">
        <v>1200000</v>
      </c>
      <c r="G358" s="15">
        <v>0</v>
      </c>
      <c r="H358" s="15">
        <v>1515533</v>
      </c>
      <c r="I358" s="52" t="s">
        <v>978</v>
      </c>
    </row>
    <row r="359" spans="1:9">
      <c r="A359" s="810"/>
      <c r="B359" s="12">
        <v>40521</v>
      </c>
      <c r="C359" s="14" t="s">
        <v>979</v>
      </c>
      <c r="D359" s="14" t="s">
        <v>980</v>
      </c>
      <c r="E359" s="14" t="s">
        <v>12</v>
      </c>
      <c r="F359" s="15">
        <v>50000</v>
      </c>
      <c r="G359" s="15">
        <v>50000</v>
      </c>
      <c r="H359" s="15">
        <v>0</v>
      </c>
      <c r="I359" s="52" t="s">
        <v>501</v>
      </c>
    </row>
    <row r="360" spans="1:9" ht="30.6">
      <c r="A360" s="810"/>
      <c r="B360" s="12">
        <v>40521</v>
      </c>
      <c r="C360" s="14" t="s">
        <v>981</v>
      </c>
      <c r="D360" s="14" t="s">
        <v>982</v>
      </c>
      <c r="E360" s="14" t="s">
        <v>12</v>
      </c>
      <c r="F360" s="15">
        <v>0</v>
      </c>
      <c r="G360" s="15">
        <v>500000</v>
      </c>
      <c r="H360" s="15">
        <v>0</v>
      </c>
      <c r="I360" s="52" t="s">
        <v>983</v>
      </c>
    </row>
    <row r="361" spans="1:9" ht="30.6">
      <c r="A361" s="810"/>
      <c r="B361" s="12">
        <v>40521</v>
      </c>
      <c r="C361" s="14" t="s">
        <v>984</v>
      </c>
      <c r="D361" s="14" t="s">
        <v>985</v>
      </c>
      <c r="E361" s="14" t="s">
        <v>12</v>
      </c>
      <c r="F361" s="15">
        <v>0</v>
      </c>
      <c r="G361" s="15">
        <v>0</v>
      </c>
      <c r="H361" s="15">
        <v>1430526</v>
      </c>
      <c r="I361" s="52" t="s">
        <v>986</v>
      </c>
    </row>
    <row r="362" spans="1:9" ht="20.399999999999999">
      <c r="A362" s="810"/>
      <c r="B362" s="12">
        <v>40521</v>
      </c>
      <c r="C362" s="14" t="s">
        <v>987</v>
      </c>
      <c r="D362" s="14" t="s">
        <v>988</v>
      </c>
      <c r="E362" s="14" t="s">
        <v>12</v>
      </c>
      <c r="F362" s="15">
        <v>0</v>
      </c>
      <c r="G362" s="15">
        <v>0</v>
      </c>
      <c r="H362" s="15">
        <v>480000</v>
      </c>
      <c r="I362" s="52" t="s">
        <v>808</v>
      </c>
    </row>
    <row r="363" spans="1:9" ht="20.399999999999999">
      <c r="A363" s="810"/>
      <c r="B363" s="12">
        <v>40521</v>
      </c>
      <c r="C363" s="14" t="s">
        <v>989</v>
      </c>
      <c r="D363" s="14" t="s">
        <v>990</v>
      </c>
      <c r="E363" s="14" t="s">
        <v>12</v>
      </c>
      <c r="F363" s="15">
        <v>0</v>
      </c>
      <c r="G363" s="15">
        <v>0</v>
      </c>
      <c r="H363" s="15">
        <v>380000</v>
      </c>
      <c r="I363" s="52" t="s">
        <v>991</v>
      </c>
    </row>
    <row r="364" spans="1:9" ht="30.6">
      <c r="A364" s="810"/>
      <c r="B364" s="12">
        <v>40521</v>
      </c>
      <c r="C364" s="14" t="s">
        <v>992</v>
      </c>
      <c r="D364" s="14" t="s">
        <v>993</v>
      </c>
      <c r="E364" s="14" t="s">
        <v>12</v>
      </c>
      <c r="F364" s="15">
        <v>0</v>
      </c>
      <c r="G364" s="15">
        <v>1611000</v>
      </c>
      <c r="H364" s="15">
        <v>270000</v>
      </c>
      <c r="I364" s="52" t="s">
        <v>994</v>
      </c>
    </row>
    <row r="365" spans="1:9" ht="20.399999999999999">
      <c r="A365" s="810"/>
      <c r="B365" s="12">
        <v>40521</v>
      </c>
      <c r="C365" s="14" t="s">
        <v>995</v>
      </c>
      <c r="D365" s="14" t="s">
        <v>996</v>
      </c>
      <c r="E365" s="14" t="s">
        <v>12</v>
      </c>
      <c r="F365" s="15">
        <v>0</v>
      </c>
      <c r="G365" s="15">
        <v>0</v>
      </c>
      <c r="H365" s="15">
        <v>1163000</v>
      </c>
      <c r="I365" s="52" t="s">
        <v>997</v>
      </c>
    </row>
    <row r="366" spans="1:9" ht="20.399999999999999">
      <c r="A366" s="810"/>
      <c r="B366" s="12">
        <v>40521</v>
      </c>
      <c r="C366" s="14" t="s">
        <v>998</v>
      </c>
      <c r="D366" s="14" t="s">
        <v>999</v>
      </c>
      <c r="E366" s="14" t="s">
        <v>12</v>
      </c>
      <c r="F366" s="15">
        <v>0</v>
      </c>
      <c r="G366" s="15">
        <v>0</v>
      </c>
      <c r="H366" s="15">
        <v>107115</v>
      </c>
      <c r="I366" s="52" t="s">
        <v>1000</v>
      </c>
    </row>
    <row r="367" spans="1:9" ht="20.399999999999999">
      <c r="A367" s="810"/>
      <c r="B367" s="12">
        <v>40521</v>
      </c>
      <c r="C367" s="14" t="s">
        <v>1001</v>
      </c>
      <c r="D367" s="14" t="s">
        <v>1002</v>
      </c>
      <c r="E367" s="14" t="s">
        <v>12</v>
      </c>
      <c r="F367" s="15">
        <v>0</v>
      </c>
      <c r="G367" s="15">
        <v>0</v>
      </c>
      <c r="H367" s="15">
        <v>7897086</v>
      </c>
      <c r="I367" s="52" t="s">
        <v>1003</v>
      </c>
    </row>
    <row r="368" spans="1:9" ht="24.75" customHeight="1">
      <c r="A368" s="810"/>
      <c r="B368" s="12">
        <v>40521</v>
      </c>
      <c r="C368" s="14" t="s">
        <v>1004</v>
      </c>
      <c r="D368" s="14" t="s">
        <v>1005</v>
      </c>
      <c r="E368" s="14" t="s">
        <v>12</v>
      </c>
      <c r="F368" s="15">
        <v>63805</v>
      </c>
      <c r="G368" s="15">
        <v>0</v>
      </c>
      <c r="H368" s="15">
        <v>1119414.3400000001</v>
      </c>
      <c r="I368" s="52" t="s">
        <v>1006</v>
      </c>
    </row>
    <row r="369" spans="1:9" ht="20.399999999999999">
      <c r="A369" s="810"/>
      <c r="B369" s="12">
        <v>40521</v>
      </c>
      <c r="C369" s="14" t="s">
        <v>1007</v>
      </c>
      <c r="D369" s="14" t="s">
        <v>1008</v>
      </c>
      <c r="E369" s="14" t="s">
        <v>12</v>
      </c>
      <c r="F369" s="15">
        <v>0</v>
      </c>
      <c r="G369" s="15">
        <v>0</v>
      </c>
      <c r="H369" s="15">
        <v>1905186</v>
      </c>
      <c r="I369" s="52" t="s">
        <v>1009</v>
      </c>
    </row>
    <row r="370" spans="1:9" ht="20.399999999999999">
      <c r="A370" s="810"/>
      <c r="B370" s="12">
        <v>40521</v>
      </c>
      <c r="C370" s="14" t="s">
        <v>1010</v>
      </c>
      <c r="D370" s="14" t="s">
        <v>1011</v>
      </c>
      <c r="E370" s="14" t="s">
        <v>12</v>
      </c>
      <c r="F370" s="15">
        <v>0</v>
      </c>
      <c r="G370" s="15">
        <v>0</v>
      </c>
      <c r="H370" s="15">
        <v>2350000</v>
      </c>
      <c r="I370" s="52" t="s">
        <v>1012</v>
      </c>
    </row>
    <row r="371" spans="1:9" ht="20.399999999999999">
      <c r="A371" s="810"/>
      <c r="B371" s="12">
        <v>40521</v>
      </c>
      <c r="C371" s="14" t="s">
        <v>1013</v>
      </c>
      <c r="D371" s="14" t="s">
        <v>1014</v>
      </c>
      <c r="E371" s="14" t="s">
        <v>12</v>
      </c>
      <c r="F371" s="15">
        <v>0</v>
      </c>
      <c r="G371" s="15">
        <v>0</v>
      </c>
      <c r="H371" s="15">
        <v>98881</v>
      </c>
      <c r="I371" s="52" t="s">
        <v>1015</v>
      </c>
    </row>
    <row r="372" spans="1:9" ht="13.8" thickBot="1">
      <c r="A372" s="811"/>
      <c r="B372" s="17">
        <v>40521</v>
      </c>
      <c r="C372" s="19" t="s">
        <v>1016</v>
      </c>
      <c r="D372" s="19" t="s">
        <v>1017</v>
      </c>
      <c r="E372" s="19" t="s">
        <v>12</v>
      </c>
      <c r="F372" s="20">
        <v>40985.5</v>
      </c>
      <c r="G372" s="20">
        <v>40985.5</v>
      </c>
      <c r="H372" s="20">
        <v>0</v>
      </c>
      <c r="I372" s="55" t="s">
        <v>416</v>
      </c>
    </row>
    <row r="373" spans="1:9" ht="24.75" customHeight="1" thickBot="1">
      <c r="A373" s="83"/>
      <c r="B373" s="3" t="s">
        <v>1</v>
      </c>
      <c r="C373" s="5" t="s">
        <v>2</v>
      </c>
      <c r="D373" s="44" t="s">
        <v>3</v>
      </c>
      <c r="E373" s="5" t="s">
        <v>4</v>
      </c>
      <c r="F373" s="30" t="s">
        <v>5</v>
      </c>
      <c r="G373" s="5" t="s">
        <v>6</v>
      </c>
      <c r="H373" s="5" t="s">
        <v>7</v>
      </c>
      <c r="I373" s="6" t="s">
        <v>8</v>
      </c>
    </row>
    <row r="374" spans="1:9" ht="21" customHeight="1">
      <c r="A374" s="809" t="s">
        <v>824</v>
      </c>
      <c r="B374" s="7">
        <v>40521</v>
      </c>
      <c r="C374" s="9" t="s">
        <v>1018</v>
      </c>
      <c r="D374" s="9" t="s">
        <v>1019</v>
      </c>
      <c r="E374" s="9" t="s">
        <v>12</v>
      </c>
      <c r="F374" s="10">
        <v>0</v>
      </c>
      <c r="G374" s="10">
        <v>0</v>
      </c>
      <c r="H374" s="10">
        <v>150000</v>
      </c>
      <c r="I374" s="71" t="s">
        <v>1020</v>
      </c>
    </row>
    <row r="375" spans="1:9" ht="20.399999999999999">
      <c r="A375" s="810"/>
      <c r="B375" s="12">
        <v>40521</v>
      </c>
      <c r="C375" s="14" t="s">
        <v>1021</v>
      </c>
      <c r="D375" s="14" t="s">
        <v>1022</v>
      </c>
      <c r="E375" s="14" t="s">
        <v>12</v>
      </c>
      <c r="F375" s="15">
        <v>0</v>
      </c>
      <c r="G375" s="15">
        <v>0</v>
      </c>
      <c r="H375" s="15">
        <v>1500000</v>
      </c>
      <c r="I375" s="52" t="s">
        <v>1023</v>
      </c>
    </row>
    <row r="376" spans="1:9" ht="30.6">
      <c r="A376" s="810"/>
      <c r="B376" s="12">
        <v>40521</v>
      </c>
      <c r="C376" s="14" t="s">
        <v>1024</v>
      </c>
      <c r="D376" s="14" t="s">
        <v>1025</v>
      </c>
      <c r="E376" s="14" t="s">
        <v>12</v>
      </c>
      <c r="F376" s="15">
        <v>0</v>
      </c>
      <c r="G376" s="15">
        <v>0</v>
      </c>
      <c r="H376" s="15">
        <v>86727</v>
      </c>
      <c r="I376" s="52" t="s">
        <v>1026</v>
      </c>
    </row>
    <row r="377" spans="1:9" ht="20.399999999999999">
      <c r="A377" s="810"/>
      <c r="B377" s="12">
        <v>40521</v>
      </c>
      <c r="C377" s="14" t="s">
        <v>1027</v>
      </c>
      <c r="D377" s="14" t="s">
        <v>1028</v>
      </c>
      <c r="E377" s="14" t="s">
        <v>12</v>
      </c>
      <c r="F377" s="15">
        <v>25439.41</v>
      </c>
      <c r="G377" s="15">
        <v>25439.41</v>
      </c>
      <c r="H377" s="15">
        <v>0</v>
      </c>
      <c r="I377" s="52" t="s">
        <v>1029</v>
      </c>
    </row>
    <row r="378" spans="1:9">
      <c r="A378" s="810"/>
      <c r="B378" s="12">
        <v>40521</v>
      </c>
      <c r="C378" s="14" t="s">
        <v>1030</v>
      </c>
      <c r="D378" s="14" t="s">
        <v>1031</v>
      </c>
      <c r="E378" s="14" t="s">
        <v>12</v>
      </c>
      <c r="F378" s="15">
        <v>0</v>
      </c>
      <c r="G378" s="15">
        <v>0</v>
      </c>
      <c r="H378" s="15">
        <v>200000</v>
      </c>
      <c r="I378" s="52" t="s">
        <v>1032</v>
      </c>
    </row>
    <row r="379" spans="1:9" ht="20.399999999999999">
      <c r="A379" s="810"/>
      <c r="B379" s="12">
        <v>40521</v>
      </c>
      <c r="C379" s="14" t="s">
        <v>1033</v>
      </c>
      <c r="D379" s="14" t="s">
        <v>1034</v>
      </c>
      <c r="E379" s="14" t="s">
        <v>12</v>
      </c>
      <c r="F379" s="15">
        <v>400000</v>
      </c>
      <c r="G379" s="15">
        <v>400000</v>
      </c>
      <c r="H379" s="15">
        <v>0</v>
      </c>
      <c r="I379" s="52" t="s">
        <v>1035</v>
      </c>
    </row>
    <row r="380" spans="1:9" ht="20.399999999999999">
      <c r="A380" s="810"/>
      <c r="B380" s="12">
        <v>40521</v>
      </c>
      <c r="C380" s="14" t="s">
        <v>1036</v>
      </c>
      <c r="D380" s="14" t="s">
        <v>1037</v>
      </c>
      <c r="E380" s="14" t="s">
        <v>12</v>
      </c>
      <c r="F380" s="15">
        <v>0</v>
      </c>
      <c r="G380" s="15">
        <v>0</v>
      </c>
      <c r="H380" s="15">
        <v>13000</v>
      </c>
      <c r="I380" s="52" t="s">
        <v>1038</v>
      </c>
    </row>
    <row r="381" spans="1:9" ht="20.399999999999999">
      <c r="A381" s="810"/>
      <c r="B381" s="12">
        <v>40521</v>
      </c>
      <c r="C381" s="14" t="s">
        <v>1039</v>
      </c>
      <c r="D381" s="14" t="s">
        <v>1040</v>
      </c>
      <c r="E381" s="14" t="s">
        <v>12</v>
      </c>
      <c r="F381" s="15">
        <v>0</v>
      </c>
      <c r="G381" s="15">
        <v>0</v>
      </c>
      <c r="H381" s="15">
        <v>700000</v>
      </c>
      <c r="I381" s="52" t="s">
        <v>1041</v>
      </c>
    </row>
    <row r="382" spans="1:9" ht="20.399999999999999">
      <c r="A382" s="810"/>
      <c r="B382" s="12">
        <v>40521</v>
      </c>
      <c r="C382" s="14" t="s">
        <v>1042</v>
      </c>
      <c r="D382" s="14" t="s">
        <v>1043</v>
      </c>
      <c r="E382" s="14" t="s">
        <v>12</v>
      </c>
      <c r="F382" s="15">
        <v>844920</v>
      </c>
      <c r="G382" s="15">
        <v>844920</v>
      </c>
      <c r="H382" s="15">
        <v>0</v>
      </c>
      <c r="I382" s="52" t="s">
        <v>419</v>
      </c>
    </row>
    <row r="383" spans="1:9" ht="20.399999999999999">
      <c r="A383" s="810"/>
      <c r="B383" s="12">
        <v>40521</v>
      </c>
      <c r="C383" s="14" t="s">
        <v>1044</v>
      </c>
      <c r="D383" s="14" t="s">
        <v>1045</v>
      </c>
      <c r="E383" s="14" t="s">
        <v>12</v>
      </c>
      <c r="F383" s="15">
        <v>0</v>
      </c>
      <c r="G383" s="15">
        <v>-419848</v>
      </c>
      <c r="H383" s="15">
        <v>0</v>
      </c>
      <c r="I383" s="52" t="s">
        <v>1046</v>
      </c>
    </row>
    <row r="384" spans="1:9" ht="20.399999999999999">
      <c r="A384" s="810"/>
      <c r="B384" s="12">
        <v>40542</v>
      </c>
      <c r="C384" s="14" t="s">
        <v>1047</v>
      </c>
      <c r="D384" s="14" t="s">
        <v>1048</v>
      </c>
      <c r="E384" s="14" t="s">
        <v>12</v>
      </c>
      <c r="F384" s="15">
        <v>0</v>
      </c>
      <c r="G384" s="15">
        <v>0</v>
      </c>
      <c r="H384" s="15">
        <v>228000</v>
      </c>
      <c r="I384" s="52" t="s">
        <v>1049</v>
      </c>
    </row>
    <row r="385" spans="1:9">
      <c r="A385" s="810"/>
      <c r="B385" s="12">
        <v>40542</v>
      </c>
      <c r="C385" s="14" t="s">
        <v>1050</v>
      </c>
      <c r="D385" s="14" t="s">
        <v>1051</v>
      </c>
      <c r="E385" s="14" t="s">
        <v>12</v>
      </c>
      <c r="F385" s="15">
        <v>31599.45</v>
      </c>
      <c r="G385" s="15">
        <v>31599.45</v>
      </c>
      <c r="H385" s="15">
        <v>0</v>
      </c>
      <c r="I385" s="52" t="s">
        <v>416</v>
      </c>
    </row>
    <row r="386" spans="1:9" ht="20.399999999999999">
      <c r="A386" s="810"/>
      <c r="B386" s="12">
        <v>40542</v>
      </c>
      <c r="C386" s="14" t="s">
        <v>1052</v>
      </c>
      <c r="D386" s="14" t="s">
        <v>1053</v>
      </c>
      <c r="E386" s="14" t="s">
        <v>12</v>
      </c>
      <c r="F386" s="15">
        <v>1966916</v>
      </c>
      <c r="G386" s="15">
        <v>1966916</v>
      </c>
      <c r="H386" s="15">
        <v>0</v>
      </c>
      <c r="I386" s="52" t="s">
        <v>542</v>
      </c>
    </row>
    <row r="387" spans="1:9">
      <c r="A387" s="810"/>
      <c r="B387" s="12">
        <v>40542</v>
      </c>
      <c r="C387" s="14" t="s">
        <v>1054</v>
      </c>
      <c r="D387" s="14" t="s">
        <v>1055</v>
      </c>
      <c r="E387" s="14" t="s">
        <v>12</v>
      </c>
      <c r="F387" s="15">
        <v>466167.56</v>
      </c>
      <c r="G387" s="15">
        <v>466167.56</v>
      </c>
      <c r="H387" s="15">
        <v>0</v>
      </c>
      <c r="I387" s="52" t="s">
        <v>208</v>
      </c>
    </row>
    <row r="388" spans="1:9" ht="20.399999999999999">
      <c r="A388" s="810"/>
      <c r="B388" s="12">
        <v>40542</v>
      </c>
      <c r="C388" s="14" t="s">
        <v>1056</v>
      </c>
      <c r="D388" s="14" t="s">
        <v>1057</v>
      </c>
      <c r="E388" s="14" t="s">
        <v>12</v>
      </c>
      <c r="F388" s="15">
        <v>829651.79</v>
      </c>
      <c r="G388" s="15">
        <v>829651.79</v>
      </c>
      <c r="H388" s="15">
        <v>0</v>
      </c>
      <c r="I388" s="52" t="s">
        <v>1058</v>
      </c>
    </row>
    <row r="389" spans="1:9" ht="20.399999999999999">
      <c r="A389" s="810"/>
      <c r="B389" s="12">
        <v>40542</v>
      </c>
      <c r="C389" s="14" t="s">
        <v>1059</v>
      </c>
      <c r="D389" s="14" t="s">
        <v>1060</v>
      </c>
      <c r="E389" s="14" t="s">
        <v>12</v>
      </c>
      <c r="F389" s="15">
        <v>0</v>
      </c>
      <c r="G389" s="15">
        <v>0</v>
      </c>
      <c r="H389" s="15">
        <v>8720</v>
      </c>
      <c r="I389" s="52" t="s">
        <v>1061</v>
      </c>
    </row>
    <row r="390" spans="1:9">
      <c r="A390" s="810"/>
      <c r="B390" s="12">
        <v>40542</v>
      </c>
      <c r="C390" s="14" t="s">
        <v>1062</v>
      </c>
      <c r="D390" s="14" t="s">
        <v>1063</v>
      </c>
      <c r="E390" s="14" t="s">
        <v>12</v>
      </c>
      <c r="F390" s="15">
        <v>27200</v>
      </c>
      <c r="G390" s="15">
        <v>27200</v>
      </c>
      <c r="H390" s="15">
        <v>0</v>
      </c>
      <c r="I390" s="52" t="s">
        <v>350</v>
      </c>
    </row>
    <row r="391" spans="1:9" ht="30.6">
      <c r="A391" s="810"/>
      <c r="B391" s="12">
        <v>40542</v>
      </c>
      <c r="C391" s="14" t="s">
        <v>1064</v>
      </c>
      <c r="D391" s="14" t="s">
        <v>1065</v>
      </c>
      <c r="E391" s="14" t="s">
        <v>12</v>
      </c>
      <c r="F391" s="15">
        <v>0</v>
      </c>
      <c r="G391" s="15">
        <v>0</v>
      </c>
      <c r="H391" s="15">
        <v>24880</v>
      </c>
      <c r="I391" s="52" t="s">
        <v>1066</v>
      </c>
    </row>
    <row r="392" spans="1:9" ht="20.399999999999999">
      <c r="A392" s="810"/>
      <c r="B392" s="12">
        <v>40542</v>
      </c>
      <c r="C392" s="14" t="s">
        <v>1067</v>
      </c>
      <c r="D392" s="14" t="s">
        <v>1068</v>
      </c>
      <c r="E392" s="14" t="s">
        <v>12</v>
      </c>
      <c r="F392" s="15">
        <v>17876.79</v>
      </c>
      <c r="G392" s="15">
        <v>17876.79</v>
      </c>
      <c r="H392" s="15">
        <v>0</v>
      </c>
      <c r="I392" s="52" t="s">
        <v>1069</v>
      </c>
    </row>
    <row r="393" spans="1:9" ht="21" thickBot="1">
      <c r="A393" s="811"/>
      <c r="B393" s="17">
        <v>40542</v>
      </c>
      <c r="C393" s="19" t="s">
        <v>1070</v>
      </c>
      <c r="D393" s="19" t="s">
        <v>1071</v>
      </c>
      <c r="E393" s="19" t="s">
        <v>12</v>
      </c>
      <c r="F393" s="20">
        <v>77589.350000000006</v>
      </c>
      <c r="G393" s="20">
        <v>77589.350000000006</v>
      </c>
      <c r="H393" s="20">
        <v>0</v>
      </c>
      <c r="I393" s="55" t="s">
        <v>1072</v>
      </c>
    </row>
    <row r="394" spans="1:9" ht="24.75" customHeight="1" thickBot="1">
      <c r="A394" s="83"/>
      <c r="B394" s="3" t="s">
        <v>1</v>
      </c>
      <c r="C394" s="5" t="s">
        <v>2</v>
      </c>
      <c r="D394" s="44" t="s">
        <v>3</v>
      </c>
      <c r="E394" s="5" t="s">
        <v>4</v>
      </c>
      <c r="F394" s="30" t="s">
        <v>5</v>
      </c>
      <c r="G394" s="5" t="s">
        <v>6</v>
      </c>
      <c r="H394" s="5" t="s">
        <v>7</v>
      </c>
      <c r="I394" s="6" t="s">
        <v>8</v>
      </c>
    </row>
    <row r="395" spans="1:9" ht="30.6">
      <c r="A395" s="809" t="s">
        <v>824</v>
      </c>
      <c r="B395" s="12">
        <v>40542</v>
      </c>
      <c r="C395" s="14" t="s">
        <v>1073</v>
      </c>
      <c r="D395" s="14" t="s">
        <v>1074</v>
      </c>
      <c r="E395" s="14" t="s">
        <v>12</v>
      </c>
      <c r="F395" s="15">
        <v>0</v>
      </c>
      <c r="G395" s="15">
        <v>0</v>
      </c>
      <c r="H395" s="15">
        <v>40000</v>
      </c>
      <c r="I395" s="52" t="s">
        <v>1075</v>
      </c>
    </row>
    <row r="396" spans="1:9">
      <c r="A396" s="810"/>
      <c r="B396" s="12">
        <v>40542</v>
      </c>
      <c r="C396" s="14" t="s">
        <v>1076</v>
      </c>
      <c r="D396" s="14" t="s">
        <v>1077</v>
      </c>
      <c r="E396" s="14" t="s">
        <v>12</v>
      </c>
      <c r="F396" s="15">
        <v>26484.44</v>
      </c>
      <c r="G396" s="15">
        <v>26484.44</v>
      </c>
      <c r="H396" s="15">
        <v>0</v>
      </c>
      <c r="I396" s="52" t="s">
        <v>1078</v>
      </c>
    </row>
    <row r="397" spans="1:9" ht="30.6">
      <c r="A397" s="810"/>
      <c r="B397" s="12">
        <v>40542</v>
      </c>
      <c r="C397" s="14" t="s">
        <v>1079</v>
      </c>
      <c r="D397" s="14" t="s">
        <v>1080</v>
      </c>
      <c r="E397" s="14" t="s">
        <v>12</v>
      </c>
      <c r="F397" s="15">
        <v>0</v>
      </c>
      <c r="G397" s="15">
        <v>0</v>
      </c>
      <c r="H397" s="15">
        <v>18766.8</v>
      </c>
      <c r="I397" s="52" t="s">
        <v>1081</v>
      </c>
    </row>
    <row r="398" spans="1:9" ht="20.399999999999999">
      <c r="A398" s="810"/>
      <c r="B398" s="12">
        <v>40542</v>
      </c>
      <c r="C398" s="14" t="s">
        <v>1082</v>
      </c>
      <c r="D398" s="14" t="s">
        <v>1083</v>
      </c>
      <c r="E398" s="14" t="s">
        <v>12</v>
      </c>
      <c r="F398" s="15">
        <v>100000</v>
      </c>
      <c r="G398" s="15">
        <v>0</v>
      </c>
      <c r="H398" s="15">
        <v>0</v>
      </c>
      <c r="I398" s="52" t="s">
        <v>1084</v>
      </c>
    </row>
    <row r="399" spans="1:9" ht="30.6">
      <c r="A399" s="810"/>
      <c r="B399" s="12">
        <v>40542</v>
      </c>
      <c r="C399" s="14" t="s">
        <v>1085</v>
      </c>
      <c r="D399" s="14" t="s">
        <v>1086</v>
      </c>
      <c r="E399" s="14" t="s">
        <v>12</v>
      </c>
      <c r="F399" s="15">
        <v>0</v>
      </c>
      <c r="G399" s="15">
        <v>0</v>
      </c>
      <c r="H399" s="15">
        <v>345000</v>
      </c>
      <c r="I399" s="52" t="s">
        <v>1087</v>
      </c>
    </row>
    <row r="400" spans="1:9" ht="20.399999999999999">
      <c r="A400" s="810"/>
      <c r="B400" s="12">
        <v>40542</v>
      </c>
      <c r="C400" s="14" t="s">
        <v>1088</v>
      </c>
      <c r="D400" s="14" t="s">
        <v>1089</v>
      </c>
      <c r="E400" s="14" t="s">
        <v>12</v>
      </c>
      <c r="F400" s="15">
        <v>0</v>
      </c>
      <c r="G400" s="15">
        <v>0</v>
      </c>
      <c r="H400" s="15">
        <v>5830158</v>
      </c>
      <c r="I400" s="52" t="s">
        <v>1090</v>
      </c>
    </row>
    <row r="401" spans="1:9" ht="20.399999999999999">
      <c r="A401" s="810"/>
      <c r="B401" s="12">
        <v>40542</v>
      </c>
      <c r="C401" s="14" t="s">
        <v>1091</v>
      </c>
      <c r="D401" s="14" t="s">
        <v>1092</v>
      </c>
      <c r="E401" s="14" t="s">
        <v>12</v>
      </c>
      <c r="F401" s="15">
        <v>834660</v>
      </c>
      <c r="G401" s="15">
        <v>834660</v>
      </c>
      <c r="H401" s="15">
        <v>0</v>
      </c>
      <c r="I401" s="52" t="s">
        <v>419</v>
      </c>
    </row>
    <row r="402" spans="1:9" ht="20.399999999999999">
      <c r="A402" s="810"/>
      <c r="B402" s="12">
        <v>40543</v>
      </c>
      <c r="C402" s="14" t="s">
        <v>1093</v>
      </c>
      <c r="D402" s="14" t="s">
        <v>1094</v>
      </c>
      <c r="E402" s="14" t="s">
        <v>12</v>
      </c>
      <c r="F402" s="15">
        <v>7094247.1900000004</v>
      </c>
      <c r="G402" s="15">
        <v>7094247.1900000004</v>
      </c>
      <c r="H402" s="15">
        <v>0</v>
      </c>
      <c r="I402" s="52" t="s">
        <v>1095</v>
      </c>
    </row>
    <row r="403" spans="1:9" ht="33.75" customHeight="1">
      <c r="A403" s="810"/>
      <c r="B403" s="12">
        <v>40543</v>
      </c>
      <c r="C403" s="14" t="s">
        <v>1096</v>
      </c>
      <c r="D403" s="14" t="s">
        <v>1097</v>
      </c>
      <c r="E403" s="14" t="s">
        <v>12</v>
      </c>
      <c r="F403" s="15">
        <v>0</v>
      </c>
      <c r="G403" s="15">
        <v>0</v>
      </c>
      <c r="H403" s="15">
        <f>193397.59+40748.54</f>
        <v>234146.13</v>
      </c>
      <c r="I403" s="52" t="s">
        <v>1098</v>
      </c>
    </row>
    <row r="404" spans="1:9">
      <c r="A404" s="810"/>
      <c r="B404" s="12">
        <v>40543</v>
      </c>
      <c r="C404" s="14" t="s">
        <v>1099</v>
      </c>
      <c r="D404" s="14" t="s">
        <v>1100</v>
      </c>
      <c r="E404" s="14" t="s">
        <v>12</v>
      </c>
      <c r="F404" s="15">
        <v>3392764</v>
      </c>
      <c r="G404" s="15">
        <v>3392764</v>
      </c>
      <c r="H404" s="15">
        <v>0</v>
      </c>
      <c r="I404" s="52" t="s">
        <v>1101</v>
      </c>
    </row>
    <row r="405" spans="1:9" ht="20.399999999999999">
      <c r="A405" s="810"/>
      <c r="B405" s="12">
        <v>40543</v>
      </c>
      <c r="C405" s="14" t="s">
        <v>1102</v>
      </c>
      <c r="D405" s="14" t="s">
        <v>1103</v>
      </c>
      <c r="E405" s="14" t="s">
        <v>12</v>
      </c>
      <c r="F405" s="15">
        <v>0</v>
      </c>
      <c r="G405" s="15">
        <v>0</v>
      </c>
      <c r="H405" s="15">
        <v>7640</v>
      </c>
      <c r="I405" s="52" t="s">
        <v>1104</v>
      </c>
    </row>
    <row r="406" spans="1:9">
      <c r="A406" s="810"/>
      <c r="B406" s="12">
        <v>40543</v>
      </c>
      <c r="C406" s="14" t="s">
        <v>1105</v>
      </c>
      <c r="D406" s="14" t="s">
        <v>1106</v>
      </c>
      <c r="E406" s="14" t="s">
        <v>12</v>
      </c>
      <c r="F406" s="15">
        <v>22306000</v>
      </c>
      <c r="G406" s="15">
        <v>22306000</v>
      </c>
      <c r="H406" s="15">
        <v>0</v>
      </c>
      <c r="I406" s="52" t="s">
        <v>1107</v>
      </c>
    </row>
    <row r="407" spans="1:9" ht="20.399999999999999">
      <c r="A407" s="810"/>
      <c r="B407" s="12">
        <v>40543</v>
      </c>
      <c r="C407" s="14" t="s">
        <v>1108</v>
      </c>
      <c r="D407" s="14" t="s">
        <v>1109</v>
      </c>
      <c r="E407" s="14" t="s">
        <v>12</v>
      </c>
      <c r="F407" s="15">
        <v>0</v>
      </c>
      <c r="G407" s="15">
        <v>0</v>
      </c>
      <c r="H407" s="15">
        <f>590000+1566326.91+312233+260411</f>
        <v>2728970.91</v>
      </c>
      <c r="I407" s="52" t="s">
        <v>1110</v>
      </c>
    </row>
    <row r="408" spans="1:9" ht="20.399999999999999">
      <c r="A408" s="810"/>
      <c r="B408" s="12">
        <v>40543</v>
      </c>
      <c r="C408" s="14" t="s">
        <v>1111</v>
      </c>
      <c r="D408" s="14" t="s">
        <v>1112</v>
      </c>
      <c r="E408" s="14" t="s">
        <v>12</v>
      </c>
      <c r="F408" s="15">
        <v>0</v>
      </c>
      <c r="G408" s="15">
        <v>0</v>
      </c>
      <c r="H408" s="15">
        <v>288008</v>
      </c>
      <c r="I408" s="52" t="s">
        <v>1113</v>
      </c>
    </row>
    <row r="409" spans="1:9" ht="20.399999999999999">
      <c r="A409" s="810"/>
      <c r="B409" s="12">
        <v>40543</v>
      </c>
      <c r="C409" s="14" t="s">
        <v>1114</v>
      </c>
      <c r="D409" s="14" t="s">
        <v>1115</v>
      </c>
      <c r="E409" s="14" t="s">
        <v>12</v>
      </c>
      <c r="F409" s="15">
        <v>98541</v>
      </c>
      <c r="G409" s="15">
        <v>98541</v>
      </c>
      <c r="H409" s="15">
        <v>0</v>
      </c>
      <c r="I409" s="52" t="s">
        <v>1116</v>
      </c>
    </row>
    <row r="410" spans="1:9" ht="30.6">
      <c r="A410" s="810"/>
      <c r="B410" s="12">
        <v>40543</v>
      </c>
      <c r="C410" s="14" t="s">
        <v>1117</v>
      </c>
      <c r="D410" s="14" t="s">
        <v>1118</v>
      </c>
      <c r="E410" s="14" t="s">
        <v>12</v>
      </c>
      <c r="F410" s="15">
        <v>0</v>
      </c>
      <c r="G410" s="15">
        <v>0</v>
      </c>
      <c r="H410" s="15">
        <v>93050</v>
      </c>
      <c r="I410" s="52" t="s">
        <v>1119</v>
      </c>
    </row>
    <row r="411" spans="1:9" ht="31.2" thickBot="1">
      <c r="A411" s="811"/>
      <c r="B411" s="17">
        <v>40543</v>
      </c>
      <c r="C411" s="19" t="s">
        <v>1120</v>
      </c>
      <c r="D411" s="19" t="s">
        <v>1121</v>
      </c>
      <c r="E411" s="19" t="s">
        <v>12</v>
      </c>
      <c r="F411" s="20">
        <v>0</v>
      </c>
      <c r="G411" s="20">
        <v>0</v>
      </c>
      <c r="H411" s="20">
        <v>11866325.789999999</v>
      </c>
      <c r="I411" s="55" t="s">
        <v>1122</v>
      </c>
    </row>
    <row r="412" spans="1:9" ht="13.8" thickBot="1">
      <c r="B412" s="812" t="s">
        <v>1123</v>
      </c>
      <c r="C412" s="813"/>
      <c r="D412" s="813"/>
      <c r="E412" s="814"/>
      <c r="F412" s="84">
        <f>SUM(F4:F411)</f>
        <v>4804173602.0199995</v>
      </c>
      <c r="G412" s="84">
        <f>SUM(G4:G411)</f>
        <v>5211417153.3799992</v>
      </c>
      <c r="H412" s="84"/>
      <c r="I412" s="85"/>
    </row>
  </sheetData>
  <mergeCells count="29">
    <mergeCell ref="A125:A141"/>
    <mergeCell ref="B1:I1"/>
    <mergeCell ref="HK1:HR1"/>
    <mergeCell ref="HS1:HZ1"/>
    <mergeCell ref="IA1:IG1"/>
    <mergeCell ref="A4:A19"/>
    <mergeCell ref="A22:A36"/>
    <mergeCell ref="A39:A52"/>
    <mergeCell ref="A55:A71"/>
    <mergeCell ref="A73:A88"/>
    <mergeCell ref="A90:A105"/>
    <mergeCell ref="A108:A123"/>
    <mergeCell ref="A317:A336"/>
    <mergeCell ref="A143:A159"/>
    <mergeCell ref="A161:A175"/>
    <mergeCell ref="A177:A193"/>
    <mergeCell ref="A195:A213"/>
    <mergeCell ref="A215:A229"/>
    <mergeCell ref="A231:A246"/>
    <mergeCell ref="A248:A265"/>
    <mergeCell ref="A267:A282"/>
    <mergeCell ref="A284:A299"/>
    <mergeCell ref="A301:A302"/>
    <mergeCell ref="A303:A315"/>
    <mergeCell ref="A338:A354"/>
    <mergeCell ref="A356:A372"/>
    <mergeCell ref="A374:A393"/>
    <mergeCell ref="A395:A411"/>
    <mergeCell ref="B412:E412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&amp;LPříloha č. 1&amp;CZávěrečný účet Plzeňského kraje za rok 2010</oddHeader>
    <oddFooter>&amp;LKrajský úřad Plzeňského kraje
Odbor ekonomický&amp;C&amp;P&amp;R&amp;D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6"/>
  <sheetViews>
    <sheetView zoomScaleNormal="100" workbookViewId="0">
      <selection activeCell="J28" sqref="J28"/>
    </sheetView>
  </sheetViews>
  <sheetFormatPr defaultRowHeight="13.2"/>
  <cols>
    <col min="1" max="1" width="4.33203125" style="251" customWidth="1"/>
    <col min="2" max="2" width="6" style="251" customWidth="1"/>
    <col min="3" max="3" width="40.6640625" style="251" customWidth="1"/>
    <col min="4" max="4" width="21.109375" style="251" customWidth="1"/>
    <col min="5" max="5" width="11.5546875" style="251" customWidth="1"/>
    <col min="6" max="6" width="14.6640625" style="251" hidden="1" customWidth="1"/>
    <col min="7" max="256" width="9.109375" style="251"/>
    <col min="257" max="257" width="4.33203125" style="251" customWidth="1"/>
    <col min="258" max="258" width="6" style="251" customWidth="1"/>
    <col min="259" max="259" width="40.6640625" style="251" customWidth="1"/>
    <col min="260" max="260" width="21.109375" style="251" customWidth="1"/>
    <col min="261" max="261" width="11.5546875" style="251" customWidth="1"/>
    <col min="262" max="262" width="0" style="251" hidden="1" customWidth="1"/>
    <col min="263" max="512" width="9.109375" style="251"/>
    <col min="513" max="513" width="4.33203125" style="251" customWidth="1"/>
    <col min="514" max="514" width="6" style="251" customWidth="1"/>
    <col min="515" max="515" width="40.6640625" style="251" customWidth="1"/>
    <col min="516" max="516" width="21.109375" style="251" customWidth="1"/>
    <col min="517" max="517" width="11.5546875" style="251" customWidth="1"/>
    <col min="518" max="518" width="0" style="251" hidden="1" customWidth="1"/>
    <col min="519" max="768" width="9.109375" style="251"/>
    <col min="769" max="769" width="4.33203125" style="251" customWidth="1"/>
    <col min="770" max="770" width="6" style="251" customWidth="1"/>
    <col min="771" max="771" width="40.6640625" style="251" customWidth="1"/>
    <col min="772" max="772" width="21.109375" style="251" customWidth="1"/>
    <col min="773" max="773" width="11.5546875" style="251" customWidth="1"/>
    <col min="774" max="774" width="0" style="251" hidden="1" customWidth="1"/>
    <col min="775" max="1024" width="9.109375" style="251"/>
    <col min="1025" max="1025" width="4.33203125" style="251" customWidth="1"/>
    <col min="1026" max="1026" width="6" style="251" customWidth="1"/>
    <col min="1027" max="1027" width="40.6640625" style="251" customWidth="1"/>
    <col min="1028" max="1028" width="21.109375" style="251" customWidth="1"/>
    <col min="1029" max="1029" width="11.5546875" style="251" customWidth="1"/>
    <col min="1030" max="1030" width="0" style="251" hidden="1" customWidth="1"/>
    <col min="1031" max="1280" width="9.109375" style="251"/>
    <col min="1281" max="1281" width="4.33203125" style="251" customWidth="1"/>
    <col min="1282" max="1282" width="6" style="251" customWidth="1"/>
    <col min="1283" max="1283" width="40.6640625" style="251" customWidth="1"/>
    <col min="1284" max="1284" width="21.109375" style="251" customWidth="1"/>
    <col min="1285" max="1285" width="11.5546875" style="251" customWidth="1"/>
    <col min="1286" max="1286" width="0" style="251" hidden="1" customWidth="1"/>
    <col min="1287" max="1536" width="9.109375" style="251"/>
    <col min="1537" max="1537" width="4.33203125" style="251" customWidth="1"/>
    <col min="1538" max="1538" width="6" style="251" customWidth="1"/>
    <col min="1539" max="1539" width="40.6640625" style="251" customWidth="1"/>
    <col min="1540" max="1540" width="21.109375" style="251" customWidth="1"/>
    <col min="1541" max="1541" width="11.5546875" style="251" customWidth="1"/>
    <col min="1542" max="1542" width="0" style="251" hidden="1" customWidth="1"/>
    <col min="1543" max="1792" width="9.109375" style="251"/>
    <col min="1793" max="1793" width="4.33203125" style="251" customWidth="1"/>
    <col min="1794" max="1794" width="6" style="251" customWidth="1"/>
    <col min="1795" max="1795" width="40.6640625" style="251" customWidth="1"/>
    <col min="1796" max="1796" width="21.109375" style="251" customWidth="1"/>
    <col min="1797" max="1797" width="11.5546875" style="251" customWidth="1"/>
    <col min="1798" max="1798" width="0" style="251" hidden="1" customWidth="1"/>
    <col min="1799" max="2048" width="9.109375" style="251"/>
    <col min="2049" max="2049" width="4.33203125" style="251" customWidth="1"/>
    <col min="2050" max="2050" width="6" style="251" customWidth="1"/>
    <col min="2051" max="2051" width="40.6640625" style="251" customWidth="1"/>
    <col min="2052" max="2052" width="21.109375" style="251" customWidth="1"/>
    <col min="2053" max="2053" width="11.5546875" style="251" customWidth="1"/>
    <col min="2054" max="2054" width="0" style="251" hidden="1" customWidth="1"/>
    <col min="2055" max="2304" width="9.109375" style="251"/>
    <col min="2305" max="2305" width="4.33203125" style="251" customWidth="1"/>
    <col min="2306" max="2306" width="6" style="251" customWidth="1"/>
    <col min="2307" max="2307" width="40.6640625" style="251" customWidth="1"/>
    <col min="2308" max="2308" width="21.109375" style="251" customWidth="1"/>
    <col min="2309" max="2309" width="11.5546875" style="251" customWidth="1"/>
    <col min="2310" max="2310" width="0" style="251" hidden="1" customWidth="1"/>
    <col min="2311" max="2560" width="9.109375" style="251"/>
    <col min="2561" max="2561" width="4.33203125" style="251" customWidth="1"/>
    <col min="2562" max="2562" width="6" style="251" customWidth="1"/>
    <col min="2563" max="2563" width="40.6640625" style="251" customWidth="1"/>
    <col min="2564" max="2564" width="21.109375" style="251" customWidth="1"/>
    <col min="2565" max="2565" width="11.5546875" style="251" customWidth="1"/>
    <col min="2566" max="2566" width="0" style="251" hidden="1" customWidth="1"/>
    <col min="2567" max="2816" width="9.109375" style="251"/>
    <col min="2817" max="2817" width="4.33203125" style="251" customWidth="1"/>
    <col min="2818" max="2818" width="6" style="251" customWidth="1"/>
    <col min="2819" max="2819" width="40.6640625" style="251" customWidth="1"/>
    <col min="2820" max="2820" width="21.109375" style="251" customWidth="1"/>
    <col min="2821" max="2821" width="11.5546875" style="251" customWidth="1"/>
    <col min="2822" max="2822" width="0" style="251" hidden="1" customWidth="1"/>
    <col min="2823" max="3072" width="9.109375" style="251"/>
    <col min="3073" max="3073" width="4.33203125" style="251" customWidth="1"/>
    <col min="3074" max="3074" width="6" style="251" customWidth="1"/>
    <col min="3075" max="3075" width="40.6640625" style="251" customWidth="1"/>
    <col min="3076" max="3076" width="21.109375" style="251" customWidth="1"/>
    <col min="3077" max="3077" width="11.5546875" style="251" customWidth="1"/>
    <col min="3078" max="3078" width="0" style="251" hidden="1" customWidth="1"/>
    <col min="3079" max="3328" width="9.109375" style="251"/>
    <col min="3329" max="3329" width="4.33203125" style="251" customWidth="1"/>
    <col min="3330" max="3330" width="6" style="251" customWidth="1"/>
    <col min="3331" max="3331" width="40.6640625" style="251" customWidth="1"/>
    <col min="3332" max="3332" width="21.109375" style="251" customWidth="1"/>
    <col min="3333" max="3333" width="11.5546875" style="251" customWidth="1"/>
    <col min="3334" max="3334" width="0" style="251" hidden="1" customWidth="1"/>
    <col min="3335" max="3584" width="9.109375" style="251"/>
    <col min="3585" max="3585" width="4.33203125" style="251" customWidth="1"/>
    <col min="3586" max="3586" width="6" style="251" customWidth="1"/>
    <col min="3587" max="3587" width="40.6640625" style="251" customWidth="1"/>
    <col min="3588" max="3588" width="21.109375" style="251" customWidth="1"/>
    <col min="3589" max="3589" width="11.5546875" style="251" customWidth="1"/>
    <col min="3590" max="3590" width="0" style="251" hidden="1" customWidth="1"/>
    <col min="3591" max="3840" width="9.109375" style="251"/>
    <col min="3841" max="3841" width="4.33203125" style="251" customWidth="1"/>
    <col min="3842" max="3842" width="6" style="251" customWidth="1"/>
    <col min="3843" max="3843" width="40.6640625" style="251" customWidth="1"/>
    <col min="3844" max="3844" width="21.109375" style="251" customWidth="1"/>
    <col min="3845" max="3845" width="11.5546875" style="251" customWidth="1"/>
    <col min="3846" max="3846" width="0" style="251" hidden="1" customWidth="1"/>
    <col min="3847" max="4096" width="9.109375" style="251"/>
    <col min="4097" max="4097" width="4.33203125" style="251" customWidth="1"/>
    <col min="4098" max="4098" width="6" style="251" customWidth="1"/>
    <col min="4099" max="4099" width="40.6640625" style="251" customWidth="1"/>
    <col min="4100" max="4100" width="21.109375" style="251" customWidth="1"/>
    <col min="4101" max="4101" width="11.5546875" style="251" customWidth="1"/>
    <col min="4102" max="4102" width="0" style="251" hidden="1" customWidth="1"/>
    <col min="4103" max="4352" width="9.109375" style="251"/>
    <col min="4353" max="4353" width="4.33203125" style="251" customWidth="1"/>
    <col min="4354" max="4354" width="6" style="251" customWidth="1"/>
    <col min="4355" max="4355" width="40.6640625" style="251" customWidth="1"/>
    <col min="4356" max="4356" width="21.109375" style="251" customWidth="1"/>
    <col min="4357" max="4357" width="11.5546875" style="251" customWidth="1"/>
    <col min="4358" max="4358" width="0" style="251" hidden="1" customWidth="1"/>
    <col min="4359" max="4608" width="9.109375" style="251"/>
    <col min="4609" max="4609" width="4.33203125" style="251" customWidth="1"/>
    <col min="4610" max="4610" width="6" style="251" customWidth="1"/>
    <col min="4611" max="4611" width="40.6640625" style="251" customWidth="1"/>
    <col min="4612" max="4612" width="21.109375" style="251" customWidth="1"/>
    <col min="4613" max="4613" width="11.5546875" style="251" customWidth="1"/>
    <col min="4614" max="4614" width="0" style="251" hidden="1" customWidth="1"/>
    <col min="4615" max="4864" width="9.109375" style="251"/>
    <col min="4865" max="4865" width="4.33203125" style="251" customWidth="1"/>
    <col min="4866" max="4866" width="6" style="251" customWidth="1"/>
    <col min="4867" max="4867" width="40.6640625" style="251" customWidth="1"/>
    <col min="4868" max="4868" width="21.109375" style="251" customWidth="1"/>
    <col min="4869" max="4869" width="11.5546875" style="251" customWidth="1"/>
    <col min="4870" max="4870" width="0" style="251" hidden="1" customWidth="1"/>
    <col min="4871" max="5120" width="9.109375" style="251"/>
    <col min="5121" max="5121" width="4.33203125" style="251" customWidth="1"/>
    <col min="5122" max="5122" width="6" style="251" customWidth="1"/>
    <col min="5123" max="5123" width="40.6640625" style="251" customWidth="1"/>
    <col min="5124" max="5124" width="21.109375" style="251" customWidth="1"/>
    <col min="5125" max="5125" width="11.5546875" style="251" customWidth="1"/>
    <col min="5126" max="5126" width="0" style="251" hidden="1" customWidth="1"/>
    <col min="5127" max="5376" width="9.109375" style="251"/>
    <col min="5377" max="5377" width="4.33203125" style="251" customWidth="1"/>
    <col min="5378" max="5378" width="6" style="251" customWidth="1"/>
    <col min="5379" max="5379" width="40.6640625" style="251" customWidth="1"/>
    <col min="5380" max="5380" width="21.109375" style="251" customWidth="1"/>
    <col min="5381" max="5381" width="11.5546875" style="251" customWidth="1"/>
    <col min="5382" max="5382" width="0" style="251" hidden="1" customWidth="1"/>
    <col min="5383" max="5632" width="9.109375" style="251"/>
    <col min="5633" max="5633" width="4.33203125" style="251" customWidth="1"/>
    <col min="5634" max="5634" width="6" style="251" customWidth="1"/>
    <col min="5635" max="5635" width="40.6640625" style="251" customWidth="1"/>
    <col min="5636" max="5636" width="21.109375" style="251" customWidth="1"/>
    <col min="5637" max="5637" width="11.5546875" style="251" customWidth="1"/>
    <col min="5638" max="5638" width="0" style="251" hidden="1" customWidth="1"/>
    <col min="5639" max="5888" width="9.109375" style="251"/>
    <col min="5889" max="5889" width="4.33203125" style="251" customWidth="1"/>
    <col min="5890" max="5890" width="6" style="251" customWidth="1"/>
    <col min="5891" max="5891" width="40.6640625" style="251" customWidth="1"/>
    <col min="5892" max="5892" width="21.109375" style="251" customWidth="1"/>
    <col min="5893" max="5893" width="11.5546875" style="251" customWidth="1"/>
    <col min="5894" max="5894" width="0" style="251" hidden="1" customWidth="1"/>
    <col min="5895" max="6144" width="9.109375" style="251"/>
    <col min="6145" max="6145" width="4.33203125" style="251" customWidth="1"/>
    <col min="6146" max="6146" width="6" style="251" customWidth="1"/>
    <col min="6147" max="6147" width="40.6640625" style="251" customWidth="1"/>
    <col min="6148" max="6148" width="21.109375" style="251" customWidth="1"/>
    <col min="6149" max="6149" width="11.5546875" style="251" customWidth="1"/>
    <col min="6150" max="6150" width="0" style="251" hidden="1" customWidth="1"/>
    <col min="6151" max="6400" width="9.109375" style="251"/>
    <col min="6401" max="6401" width="4.33203125" style="251" customWidth="1"/>
    <col min="6402" max="6402" width="6" style="251" customWidth="1"/>
    <col min="6403" max="6403" width="40.6640625" style="251" customWidth="1"/>
    <col min="6404" max="6404" width="21.109375" style="251" customWidth="1"/>
    <col min="6405" max="6405" width="11.5546875" style="251" customWidth="1"/>
    <col min="6406" max="6406" width="0" style="251" hidden="1" customWidth="1"/>
    <col min="6407" max="6656" width="9.109375" style="251"/>
    <col min="6657" max="6657" width="4.33203125" style="251" customWidth="1"/>
    <col min="6658" max="6658" width="6" style="251" customWidth="1"/>
    <col min="6659" max="6659" width="40.6640625" style="251" customWidth="1"/>
    <col min="6660" max="6660" width="21.109375" style="251" customWidth="1"/>
    <col min="6661" max="6661" width="11.5546875" style="251" customWidth="1"/>
    <col min="6662" max="6662" width="0" style="251" hidden="1" customWidth="1"/>
    <col min="6663" max="6912" width="9.109375" style="251"/>
    <col min="6913" max="6913" width="4.33203125" style="251" customWidth="1"/>
    <col min="6914" max="6914" width="6" style="251" customWidth="1"/>
    <col min="6915" max="6915" width="40.6640625" style="251" customWidth="1"/>
    <col min="6916" max="6916" width="21.109375" style="251" customWidth="1"/>
    <col min="6917" max="6917" width="11.5546875" style="251" customWidth="1"/>
    <col min="6918" max="6918" width="0" style="251" hidden="1" customWidth="1"/>
    <col min="6919" max="7168" width="9.109375" style="251"/>
    <col min="7169" max="7169" width="4.33203125" style="251" customWidth="1"/>
    <col min="7170" max="7170" width="6" style="251" customWidth="1"/>
    <col min="7171" max="7171" width="40.6640625" style="251" customWidth="1"/>
    <col min="7172" max="7172" width="21.109375" style="251" customWidth="1"/>
    <col min="7173" max="7173" width="11.5546875" style="251" customWidth="1"/>
    <col min="7174" max="7174" width="0" style="251" hidden="1" customWidth="1"/>
    <col min="7175" max="7424" width="9.109375" style="251"/>
    <col min="7425" max="7425" width="4.33203125" style="251" customWidth="1"/>
    <col min="7426" max="7426" width="6" style="251" customWidth="1"/>
    <col min="7427" max="7427" width="40.6640625" style="251" customWidth="1"/>
    <col min="7428" max="7428" width="21.109375" style="251" customWidth="1"/>
    <col min="7429" max="7429" width="11.5546875" style="251" customWidth="1"/>
    <col min="7430" max="7430" width="0" style="251" hidden="1" customWidth="1"/>
    <col min="7431" max="7680" width="9.109375" style="251"/>
    <col min="7681" max="7681" width="4.33203125" style="251" customWidth="1"/>
    <col min="7682" max="7682" width="6" style="251" customWidth="1"/>
    <col min="7683" max="7683" width="40.6640625" style="251" customWidth="1"/>
    <col min="7684" max="7684" width="21.109375" style="251" customWidth="1"/>
    <col min="7685" max="7685" width="11.5546875" style="251" customWidth="1"/>
    <col min="7686" max="7686" width="0" style="251" hidden="1" customWidth="1"/>
    <col min="7687" max="7936" width="9.109375" style="251"/>
    <col min="7937" max="7937" width="4.33203125" style="251" customWidth="1"/>
    <col min="7938" max="7938" width="6" style="251" customWidth="1"/>
    <col min="7939" max="7939" width="40.6640625" style="251" customWidth="1"/>
    <col min="7940" max="7940" width="21.109375" style="251" customWidth="1"/>
    <col min="7941" max="7941" width="11.5546875" style="251" customWidth="1"/>
    <col min="7942" max="7942" width="0" style="251" hidden="1" customWidth="1"/>
    <col min="7943" max="8192" width="9.109375" style="251"/>
    <col min="8193" max="8193" width="4.33203125" style="251" customWidth="1"/>
    <col min="8194" max="8194" width="6" style="251" customWidth="1"/>
    <col min="8195" max="8195" width="40.6640625" style="251" customWidth="1"/>
    <col min="8196" max="8196" width="21.109375" style="251" customWidth="1"/>
    <col min="8197" max="8197" width="11.5546875" style="251" customWidth="1"/>
    <col min="8198" max="8198" width="0" style="251" hidden="1" customWidth="1"/>
    <col min="8199" max="8448" width="9.109375" style="251"/>
    <col min="8449" max="8449" width="4.33203125" style="251" customWidth="1"/>
    <col min="8450" max="8450" width="6" style="251" customWidth="1"/>
    <col min="8451" max="8451" width="40.6640625" style="251" customWidth="1"/>
    <col min="8452" max="8452" width="21.109375" style="251" customWidth="1"/>
    <col min="8453" max="8453" width="11.5546875" style="251" customWidth="1"/>
    <col min="8454" max="8454" width="0" style="251" hidden="1" customWidth="1"/>
    <col min="8455" max="8704" width="9.109375" style="251"/>
    <col min="8705" max="8705" width="4.33203125" style="251" customWidth="1"/>
    <col min="8706" max="8706" width="6" style="251" customWidth="1"/>
    <col min="8707" max="8707" width="40.6640625" style="251" customWidth="1"/>
    <col min="8708" max="8708" width="21.109375" style="251" customWidth="1"/>
    <col min="8709" max="8709" width="11.5546875" style="251" customWidth="1"/>
    <col min="8710" max="8710" width="0" style="251" hidden="1" customWidth="1"/>
    <col min="8711" max="8960" width="9.109375" style="251"/>
    <col min="8961" max="8961" width="4.33203125" style="251" customWidth="1"/>
    <col min="8962" max="8962" width="6" style="251" customWidth="1"/>
    <col min="8963" max="8963" width="40.6640625" style="251" customWidth="1"/>
    <col min="8964" max="8964" width="21.109375" style="251" customWidth="1"/>
    <col min="8965" max="8965" width="11.5546875" style="251" customWidth="1"/>
    <col min="8966" max="8966" width="0" style="251" hidden="1" customWidth="1"/>
    <col min="8967" max="9216" width="9.109375" style="251"/>
    <col min="9217" max="9217" width="4.33203125" style="251" customWidth="1"/>
    <col min="9218" max="9218" width="6" style="251" customWidth="1"/>
    <col min="9219" max="9219" width="40.6640625" style="251" customWidth="1"/>
    <col min="9220" max="9220" width="21.109375" style="251" customWidth="1"/>
    <col min="9221" max="9221" width="11.5546875" style="251" customWidth="1"/>
    <col min="9222" max="9222" width="0" style="251" hidden="1" customWidth="1"/>
    <col min="9223" max="9472" width="9.109375" style="251"/>
    <col min="9473" max="9473" width="4.33203125" style="251" customWidth="1"/>
    <col min="9474" max="9474" width="6" style="251" customWidth="1"/>
    <col min="9475" max="9475" width="40.6640625" style="251" customWidth="1"/>
    <col min="9476" max="9476" width="21.109375" style="251" customWidth="1"/>
    <col min="9477" max="9477" width="11.5546875" style="251" customWidth="1"/>
    <col min="9478" max="9478" width="0" style="251" hidden="1" customWidth="1"/>
    <col min="9479" max="9728" width="9.109375" style="251"/>
    <col min="9729" max="9729" width="4.33203125" style="251" customWidth="1"/>
    <col min="9730" max="9730" width="6" style="251" customWidth="1"/>
    <col min="9731" max="9731" width="40.6640625" style="251" customWidth="1"/>
    <col min="9732" max="9732" width="21.109375" style="251" customWidth="1"/>
    <col min="9733" max="9733" width="11.5546875" style="251" customWidth="1"/>
    <col min="9734" max="9734" width="0" style="251" hidden="1" customWidth="1"/>
    <col min="9735" max="9984" width="9.109375" style="251"/>
    <col min="9985" max="9985" width="4.33203125" style="251" customWidth="1"/>
    <col min="9986" max="9986" width="6" style="251" customWidth="1"/>
    <col min="9987" max="9987" width="40.6640625" style="251" customWidth="1"/>
    <col min="9988" max="9988" width="21.109375" style="251" customWidth="1"/>
    <col min="9989" max="9989" width="11.5546875" style="251" customWidth="1"/>
    <col min="9990" max="9990" width="0" style="251" hidden="1" customWidth="1"/>
    <col min="9991" max="10240" width="9.109375" style="251"/>
    <col min="10241" max="10241" width="4.33203125" style="251" customWidth="1"/>
    <col min="10242" max="10242" width="6" style="251" customWidth="1"/>
    <col min="10243" max="10243" width="40.6640625" style="251" customWidth="1"/>
    <col min="10244" max="10244" width="21.109375" style="251" customWidth="1"/>
    <col min="10245" max="10245" width="11.5546875" style="251" customWidth="1"/>
    <col min="10246" max="10246" width="0" style="251" hidden="1" customWidth="1"/>
    <col min="10247" max="10496" width="9.109375" style="251"/>
    <col min="10497" max="10497" width="4.33203125" style="251" customWidth="1"/>
    <col min="10498" max="10498" width="6" style="251" customWidth="1"/>
    <col min="10499" max="10499" width="40.6640625" style="251" customWidth="1"/>
    <col min="10500" max="10500" width="21.109375" style="251" customWidth="1"/>
    <col min="10501" max="10501" width="11.5546875" style="251" customWidth="1"/>
    <col min="10502" max="10502" width="0" style="251" hidden="1" customWidth="1"/>
    <col min="10503" max="10752" width="9.109375" style="251"/>
    <col min="10753" max="10753" width="4.33203125" style="251" customWidth="1"/>
    <col min="10754" max="10754" width="6" style="251" customWidth="1"/>
    <col min="10755" max="10755" width="40.6640625" style="251" customWidth="1"/>
    <col min="10756" max="10756" width="21.109375" style="251" customWidth="1"/>
    <col min="10757" max="10757" width="11.5546875" style="251" customWidth="1"/>
    <col min="10758" max="10758" width="0" style="251" hidden="1" customWidth="1"/>
    <col min="10759" max="11008" width="9.109375" style="251"/>
    <col min="11009" max="11009" width="4.33203125" style="251" customWidth="1"/>
    <col min="11010" max="11010" width="6" style="251" customWidth="1"/>
    <col min="11011" max="11011" width="40.6640625" style="251" customWidth="1"/>
    <col min="11012" max="11012" width="21.109375" style="251" customWidth="1"/>
    <col min="11013" max="11013" width="11.5546875" style="251" customWidth="1"/>
    <col min="11014" max="11014" width="0" style="251" hidden="1" customWidth="1"/>
    <col min="11015" max="11264" width="9.109375" style="251"/>
    <col min="11265" max="11265" width="4.33203125" style="251" customWidth="1"/>
    <col min="11266" max="11266" width="6" style="251" customWidth="1"/>
    <col min="11267" max="11267" width="40.6640625" style="251" customWidth="1"/>
    <col min="11268" max="11268" width="21.109375" style="251" customWidth="1"/>
    <col min="11269" max="11269" width="11.5546875" style="251" customWidth="1"/>
    <col min="11270" max="11270" width="0" style="251" hidden="1" customWidth="1"/>
    <col min="11271" max="11520" width="9.109375" style="251"/>
    <col min="11521" max="11521" width="4.33203125" style="251" customWidth="1"/>
    <col min="11522" max="11522" width="6" style="251" customWidth="1"/>
    <col min="11523" max="11523" width="40.6640625" style="251" customWidth="1"/>
    <col min="11524" max="11524" width="21.109375" style="251" customWidth="1"/>
    <col min="11525" max="11525" width="11.5546875" style="251" customWidth="1"/>
    <col min="11526" max="11526" width="0" style="251" hidden="1" customWidth="1"/>
    <col min="11527" max="11776" width="9.109375" style="251"/>
    <col min="11777" max="11777" width="4.33203125" style="251" customWidth="1"/>
    <col min="11778" max="11778" width="6" style="251" customWidth="1"/>
    <col min="11779" max="11779" width="40.6640625" style="251" customWidth="1"/>
    <col min="11780" max="11780" width="21.109375" style="251" customWidth="1"/>
    <col min="11781" max="11781" width="11.5546875" style="251" customWidth="1"/>
    <col min="11782" max="11782" width="0" style="251" hidden="1" customWidth="1"/>
    <col min="11783" max="12032" width="9.109375" style="251"/>
    <col min="12033" max="12033" width="4.33203125" style="251" customWidth="1"/>
    <col min="12034" max="12034" width="6" style="251" customWidth="1"/>
    <col min="12035" max="12035" width="40.6640625" style="251" customWidth="1"/>
    <col min="12036" max="12036" width="21.109375" style="251" customWidth="1"/>
    <col min="12037" max="12037" width="11.5546875" style="251" customWidth="1"/>
    <col min="12038" max="12038" width="0" style="251" hidden="1" customWidth="1"/>
    <col min="12039" max="12288" width="9.109375" style="251"/>
    <col min="12289" max="12289" width="4.33203125" style="251" customWidth="1"/>
    <col min="12290" max="12290" width="6" style="251" customWidth="1"/>
    <col min="12291" max="12291" width="40.6640625" style="251" customWidth="1"/>
    <col min="12292" max="12292" width="21.109375" style="251" customWidth="1"/>
    <col min="12293" max="12293" width="11.5546875" style="251" customWidth="1"/>
    <col min="12294" max="12294" width="0" style="251" hidden="1" customWidth="1"/>
    <col min="12295" max="12544" width="9.109375" style="251"/>
    <col min="12545" max="12545" width="4.33203125" style="251" customWidth="1"/>
    <col min="12546" max="12546" width="6" style="251" customWidth="1"/>
    <col min="12547" max="12547" width="40.6640625" style="251" customWidth="1"/>
    <col min="12548" max="12548" width="21.109375" style="251" customWidth="1"/>
    <col min="12549" max="12549" width="11.5546875" style="251" customWidth="1"/>
    <col min="12550" max="12550" width="0" style="251" hidden="1" customWidth="1"/>
    <col min="12551" max="12800" width="9.109375" style="251"/>
    <col min="12801" max="12801" width="4.33203125" style="251" customWidth="1"/>
    <col min="12802" max="12802" width="6" style="251" customWidth="1"/>
    <col min="12803" max="12803" width="40.6640625" style="251" customWidth="1"/>
    <col min="12804" max="12804" width="21.109375" style="251" customWidth="1"/>
    <col min="12805" max="12805" width="11.5546875" style="251" customWidth="1"/>
    <col min="12806" max="12806" width="0" style="251" hidden="1" customWidth="1"/>
    <col min="12807" max="13056" width="9.109375" style="251"/>
    <col min="13057" max="13057" width="4.33203125" style="251" customWidth="1"/>
    <col min="13058" max="13058" width="6" style="251" customWidth="1"/>
    <col min="13059" max="13059" width="40.6640625" style="251" customWidth="1"/>
    <col min="13060" max="13060" width="21.109375" style="251" customWidth="1"/>
    <col min="13061" max="13061" width="11.5546875" style="251" customWidth="1"/>
    <col min="13062" max="13062" width="0" style="251" hidden="1" customWidth="1"/>
    <col min="13063" max="13312" width="9.109375" style="251"/>
    <col min="13313" max="13313" width="4.33203125" style="251" customWidth="1"/>
    <col min="13314" max="13314" width="6" style="251" customWidth="1"/>
    <col min="13315" max="13315" width="40.6640625" style="251" customWidth="1"/>
    <col min="13316" max="13316" width="21.109375" style="251" customWidth="1"/>
    <col min="13317" max="13317" width="11.5546875" style="251" customWidth="1"/>
    <col min="13318" max="13318" width="0" style="251" hidden="1" customWidth="1"/>
    <col min="13319" max="13568" width="9.109375" style="251"/>
    <col min="13569" max="13569" width="4.33203125" style="251" customWidth="1"/>
    <col min="13570" max="13570" width="6" style="251" customWidth="1"/>
    <col min="13571" max="13571" width="40.6640625" style="251" customWidth="1"/>
    <col min="13572" max="13572" width="21.109375" style="251" customWidth="1"/>
    <col min="13573" max="13573" width="11.5546875" style="251" customWidth="1"/>
    <col min="13574" max="13574" width="0" style="251" hidden="1" customWidth="1"/>
    <col min="13575" max="13824" width="9.109375" style="251"/>
    <col min="13825" max="13825" width="4.33203125" style="251" customWidth="1"/>
    <col min="13826" max="13826" width="6" style="251" customWidth="1"/>
    <col min="13827" max="13827" width="40.6640625" style="251" customWidth="1"/>
    <col min="13828" max="13828" width="21.109375" style="251" customWidth="1"/>
    <col min="13829" max="13829" width="11.5546875" style="251" customWidth="1"/>
    <col min="13830" max="13830" width="0" style="251" hidden="1" customWidth="1"/>
    <col min="13831" max="14080" width="9.109375" style="251"/>
    <col min="14081" max="14081" width="4.33203125" style="251" customWidth="1"/>
    <col min="14082" max="14082" width="6" style="251" customWidth="1"/>
    <col min="14083" max="14083" width="40.6640625" style="251" customWidth="1"/>
    <col min="14084" max="14084" width="21.109375" style="251" customWidth="1"/>
    <col min="14085" max="14085" width="11.5546875" style="251" customWidth="1"/>
    <col min="14086" max="14086" width="0" style="251" hidden="1" customWidth="1"/>
    <col min="14087" max="14336" width="9.109375" style="251"/>
    <col min="14337" max="14337" width="4.33203125" style="251" customWidth="1"/>
    <col min="14338" max="14338" width="6" style="251" customWidth="1"/>
    <col min="14339" max="14339" width="40.6640625" style="251" customWidth="1"/>
    <col min="14340" max="14340" width="21.109375" style="251" customWidth="1"/>
    <col min="14341" max="14341" width="11.5546875" style="251" customWidth="1"/>
    <col min="14342" max="14342" width="0" style="251" hidden="1" customWidth="1"/>
    <col min="14343" max="14592" width="9.109375" style="251"/>
    <col min="14593" max="14593" width="4.33203125" style="251" customWidth="1"/>
    <col min="14594" max="14594" width="6" style="251" customWidth="1"/>
    <col min="14595" max="14595" width="40.6640625" style="251" customWidth="1"/>
    <col min="14596" max="14596" width="21.109375" style="251" customWidth="1"/>
    <col min="14597" max="14597" width="11.5546875" style="251" customWidth="1"/>
    <col min="14598" max="14598" width="0" style="251" hidden="1" customWidth="1"/>
    <col min="14599" max="14848" width="9.109375" style="251"/>
    <col min="14849" max="14849" width="4.33203125" style="251" customWidth="1"/>
    <col min="14850" max="14850" width="6" style="251" customWidth="1"/>
    <col min="14851" max="14851" width="40.6640625" style="251" customWidth="1"/>
    <col min="14852" max="14852" width="21.109375" style="251" customWidth="1"/>
    <col min="14853" max="14853" width="11.5546875" style="251" customWidth="1"/>
    <col min="14854" max="14854" width="0" style="251" hidden="1" customWidth="1"/>
    <col min="14855" max="15104" width="9.109375" style="251"/>
    <col min="15105" max="15105" width="4.33203125" style="251" customWidth="1"/>
    <col min="15106" max="15106" width="6" style="251" customWidth="1"/>
    <col min="15107" max="15107" width="40.6640625" style="251" customWidth="1"/>
    <col min="15108" max="15108" width="21.109375" style="251" customWidth="1"/>
    <col min="15109" max="15109" width="11.5546875" style="251" customWidth="1"/>
    <col min="15110" max="15110" width="0" style="251" hidden="1" customWidth="1"/>
    <col min="15111" max="15360" width="9.109375" style="251"/>
    <col min="15361" max="15361" width="4.33203125" style="251" customWidth="1"/>
    <col min="15362" max="15362" width="6" style="251" customWidth="1"/>
    <col min="15363" max="15363" width="40.6640625" style="251" customWidth="1"/>
    <col min="15364" max="15364" width="21.109375" style="251" customWidth="1"/>
    <col min="15365" max="15365" width="11.5546875" style="251" customWidth="1"/>
    <col min="15366" max="15366" width="0" style="251" hidden="1" customWidth="1"/>
    <col min="15367" max="15616" width="9.109375" style="251"/>
    <col min="15617" max="15617" width="4.33203125" style="251" customWidth="1"/>
    <col min="15618" max="15618" width="6" style="251" customWidth="1"/>
    <col min="15619" max="15619" width="40.6640625" style="251" customWidth="1"/>
    <col min="15620" max="15620" width="21.109375" style="251" customWidth="1"/>
    <col min="15621" max="15621" width="11.5546875" style="251" customWidth="1"/>
    <col min="15622" max="15622" width="0" style="251" hidden="1" customWidth="1"/>
    <col min="15623" max="15872" width="9.109375" style="251"/>
    <col min="15873" max="15873" width="4.33203125" style="251" customWidth="1"/>
    <col min="15874" max="15874" width="6" style="251" customWidth="1"/>
    <col min="15875" max="15875" width="40.6640625" style="251" customWidth="1"/>
    <col min="15876" max="15876" width="21.109375" style="251" customWidth="1"/>
    <col min="15877" max="15877" width="11.5546875" style="251" customWidth="1"/>
    <col min="15878" max="15878" width="0" style="251" hidden="1" customWidth="1"/>
    <col min="15879" max="16128" width="9.109375" style="251"/>
    <col min="16129" max="16129" width="4.33203125" style="251" customWidth="1"/>
    <col min="16130" max="16130" width="6" style="251" customWidth="1"/>
    <col min="16131" max="16131" width="40.6640625" style="251" customWidth="1"/>
    <col min="16132" max="16132" width="21.109375" style="251" customWidth="1"/>
    <col min="16133" max="16133" width="11.5546875" style="251" customWidth="1"/>
    <col min="16134" max="16134" width="0" style="251" hidden="1" customWidth="1"/>
    <col min="16135" max="16384" width="9.109375" style="251"/>
  </cols>
  <sheetData>
    <row r="1" spans="1:6">
      <c r="A1" s="1025" t="s">
        <v>1575</v>
      </c>
      <c r="B1" s="1025"/>
      <c r="C1" s="1025"/>
      <c r="D1" s="1026"/>
      <c r="E1" s="1026"/>
    </row>
    <row r="2" spans="1:6" ht="13.8" thickBot="1">
      <c r="A2" s="1026"/>
      <c r="B2" s="1026"/>
      <c r="C2" s="1026"/>
      <c r="D2" s="1026"/>
      <c r="E2" s="1026"/>
    </row>
    <row r="3" spans="1:6" ht="13.8" thickBot="1">
      <c r="A3" s="252"/>
      <c r="B3" s="253"/>
      <c r="C3" s="267" t="s">
        <v>1576</v>
      </c>
      <c r="D3" s="268" t="s">
        <v>1577</v>
      </c>
      <c r="E3" s="269" t="s">
        <v>1128</v>
      </c>
      <c r="F3" s="251" t="s">
        <v>1128</v>
      </c>
    </row>
    <row r="4" spans="1:6" ht="15" customHeight="1">
      <c r="A4" s="1014" t="s">
        <v>1578</v>
      </c>
      <c r="B4" s="1027" t="s">
        <v>1579</v>
      </c>
      <c r="C4" s="254" t="s">
        <v>1580</v>
      </c>
      <c r="D4" s="254" t="s">
        <v>1581</v>
      </c>
      <c r="E4" s="255">
        <f>F4/1000</f>
        <v>9293</v>
      </c>
      <c r="F4" s="256">
        <v>9293000</v>
      </c>
    </row>
    <row r="5" spans="1:6" ht="12.75" customHeight="1">
      <c r="A5" s="1015"/>
      <c r="B5" s="1005"/>
      <c r="C5" s="257" t="s">
        <v>1582</v>
      </c>
      <c r="D5" s="257" t="s">
        <v>1581</v>
      </c>
      <c r="E5" s="258">
        <f t="shared" ref="E5:E68" si="0">F5/1000</f>
        <v>9766</v>
      </c>
      <c r="F5" s="256">
        <v>9766000</v>
      </c>
    </row>
    <row r="6" spans="1:6" ht="15.75" customHeight="1">
      <c r="A6" s="1015"/>
      <c r="B6" s="1005"/>
      <c r="C6" s="257" t="s">
        <v>1583</v>
      </c>
      <c r="D6" s="257" t="s">
        <v>1581</v>
      </c>
      <c r="E6" s="258">
        <f t="shared" si="0"/>
        <v>1998</v>
      </c>
      <c r="F6" s="256">
        <v>1998000</v>
      </c>
    </row>
    <row r="7" spans="1:6" ht="21" customHeight="1">
      <c r="A7" s="1015"/>
      <c r="B7" s="1005"/>
      <c r="C7" s="257" t="s">
        <v>1584</v>
      </c>
      <c r="D7" s="257" t="s">
        <v>1581</v>
      </c>
      <c r="E7" s="258">
        <f t="shared" si="0"/>
        <v>21133</v>
      </c>
      <c r="F7" s="256">
        <v>21133000</v>
      </c>
    </row>
    <row r="8" spans="1:6" ht="23.25" customHeight="1">
      <c r="A8" s="1015"/>
      <c r="B8" s="1005"/>
      <c r="C8" s="257" t="s">
        <v>1585</v>
      </c>
      <c r="D8" s="257" t="s">
        <v>1581</v>
      </c>
      <c r="E8" s="258">
        <f t="shared" si="0"/>
        <v>34587</v>
      </c>
      <c r="F8" s="256">
        <v>34587000</v>
      </c>
    </row>
    <row r="9" spans="1:6" ht="21" customHeight="1">
      <c r="A9" s="1015"/>
      <c r="B9" s="1005"/>
      <c r="C9" s="257" t="s">
        <v>1586</v>
      </c>
      <c r="D9" s="257" t="s">
        <v>1581</v>
      </c>
      <c r="E9" s="258">
        <f t="shared" si="0"/>
        <v>23211</v>
      </c>
      <c r="F9" s="256">
        <v>23211000</v>
      </c>
    </row>
    <row r="10" spans="1:6" ht="25.5" customHeight="1">
      <c r="A10" s="1015"/>
      <c r="B10" s="1005"/>
      <c r="C10" s="257" t="s">
        <v>1587</v>
      </c>
      <c r="D10" s="257" t="s">
        <v>1581</v>
      </c>
      <c r="E10" s="258">
        <f t="shared" si="0"/>
        <v>19984</v>
      </c>
      <c r="F10" s="256">
        <v>19984000</v>
      </c>
    </row>
    <row r="11" spans="1:6" ht="21" customHeight="1">
      <c r="A11" s="1015"/>
      <c r="B11" s="1005"/>
      <c r="C11" s="257" t="s">
        <v>1588</v>
      </c>
      <c r="D11" s="257" t="s">
        <v>1581</v>
      </c>
      <c r="E11" s="258">
        <f t="shared" si="0"/>
        <v>23965</v>
      </c>
      <c r="F11" s="256">
        <v>23965000</v>
      </c>
    </row>
    <row r="12" spans="1:6" ht="13.5" customHeight="1">
      <c r="A12" s="1015"/>
      <c r="B12" s="1006"/>
      <c r="C12" s="257" t="s">
        <v>1589</v>
      </c>
      <c r="D12" s="257" t="s">
        <v>1581</v>
      </c>
      <c r="E12" s="258">
        <f t="shared" si="0"/>
        <v>0</v>
      </c>
      <c r="F12" s="256">
        <v>0</v>
      </c>
    </row>
    <row r="13" spans="1:6">
      <c r="A13" s="1015"/>
      <c r="B13" s="1024" t="s">
        <v>1590</v>
      </c>
      <c r="C13" s="1023"/>
      <c r="D13" s="1023"/>
      <c r="E13" s="259">
        <f t="shared" si="0"/>
        <v>143937</v>
      </c>
      <c r="F13" s="256">
        <v>143937000</v>
      </c>
    </row>
    <row r="14" spans="1:6" ht="15.75" customHeight="1">
      <c r="A14" s="1015"/>
      <c r="B14" s="1004" t="s">
        <v>1591</v>
      </c>
      <c r="C14" s="257" t="s">
        <v>1592</v>
      </c>
      <c r="D14" s="257" t="s">
        <v>1581</v>
      </c>
      <c r="E14" s="258">
        <f t="shared" si="0"/>
        <v>14402</v>
      </c>
      <c r="F14" s="256">
        <v>14402000</v>
      </c>
    </row>
    <row r="15" spans="1:6" ht="21" customHeight="1">
      <c r="A15" s="1015"/>
      <c r="B15" s="1005"/>
      <c r="C15" s="257" t="s">
        <v>1593</v>
      </c>
      <c r="D15" s="257" t="s">
        <v>1581</v>
      </c>
      <c r="E15" s="258">
        <f t="shared" si="0"/>
        <v>2172</v>
      </c>
      <c r="F15" s="256">
        <v>2172000</v>
      </c>
    </row>
    <row r="16" spans="1:6" ht="21" customHeight="1">
      <c r="A16" s="1015"/>
      <c r="B16" s="1005"/>
      <c r="C16" s="257" t="s">
        <v>1594</v>
      </c>
      <c r="D16" s="257" t="s">
        <v>1581</v>
      </c>
      <c r="E16" s="258">
        <f t="shared" si="0"/>
        <v>4018</v>
      </c>
      <c r="F16" s="256">
        <v>4018000</v>
      </c>
    </row>
    <row r="17" spans="1:6" ht="12.75" customHeight="1">
      <c r="A17" s="1015"/>
      <c r="B17" s="1005"/>
      <c r="C17" s="257" t="s">
        <v>1595</v>
      </c>
      <c r="D17" s="257" t="s">
        <v>1581</v>
      </c>
      <c r="E17" s="258">
        <f t="shared" si="0"/>
        <v>1772</v>
      </c>
      <c r="F17" s="256">
        <v>1772000</v>
      </c>
    </row>
    <row r="18" spans="1:6" ht="21" customHeight="1">
      <c r="A18" s="1015"/>
      <c r="B18" s="1005"/>
      <c r="C18" s="257" t="s">
        <v>1596</v>
      </c>
      <c r="D18" s="257" t="s">
        <v>1581</v>
      </c>
      <c r="E18" s="258">
        <f t="shared" si="0"/>
        <v>0</v>
      </c>
      <c r="F18" s="256">
        <v>0</v>
      </c>
    </row>
    <row r="19" spans="1:6" ht="21" customHeight="1">
      <c r="A19" s="1015"/>
      <c r="B19" s="1005"/>
      <c r="C19" s="257" t="s">
        <v>1597</v>
      </c>
      <c r="D19" s="257" t="s">
        <v>1581</v>
      </c>
      <c r="E19" s="258">
        <f t="shared" si="0"/>
        <v>23784</v>
      </c>
      <c r="F19" s="256">
        <v>23784000</v>
      </c>
    </row>
    <row r="20" spans="1:6" ht="16.5" customHeight="1">
      <c r="A20" s="1015"/>
      <c r="B20" s="1005"/>
      <c r="C20" s="257" t="s">
        <v>1598</v>
      </c>
      <c r="D20" s="257" t="s">
        <v>1581</v>
      </c>
      <c r="E20" s="258">
        <f t="shared" si="0"/>
        <v>13503</v>
      </c>
      <c r="F20" s="256">
        <v>13503000</v>
      </c>
    </row>
    <row r="21" spans="1:6" ht="21" customHeight="1">
      <c r="A21" s="1015"/>
      <c r="B21" s="1005"/>
      <c r="C21" s="257" t="s">
        <v>1599</v>
      </c>
      <c r="D21" s="257" t="s">
        <v>1581</v>
      </c>
      <c r="E21" s="258">
        <f t="shared" si="0"/>
        <v>20701</v>
      </c>
      <c r="F21" s="256">
        <v>20701000</v>
      </c>
    </row>
    <row r="22" spans="1:6" ht="21" customHeight="1">
      <c r="A22" s="1015"/>
      <c r="B22" s="1005"/>
      <c r="C22" s="257" t="s">
        <v>1600</v>
      </c>
      <c r="D22" s="257" t="s">
        <v>1581</v>
      </c>
      <c r="E22" s="258">
        <f t="shared" si="0"/>
        <v>34373</v>
      </c>
      <c r="F22" s="256">
        <v>34373000</v>
      </c>
    </row>
    <row r="23" spans="1:6" ht="21" customHeight="1">
      <c r="A23" s="1015"/>
      <c r="B23" s="1005"/>
      <c r="C23" s="257" t="s">
        <v>1601</v>
      </c>
      <c r="D23" s="257" t="s">
        <v>1581</v>
      </c>
      <c r="E23" s="258">
        <f t="shared" si="0"/>
        <v>13783</v>
      </c>
      <c r="F23" s="256">
        <v>13783000</v>
      </c>
    </row>
    <row r="24" spans="1:6" ht="21" customHeight="1">
      <c r="A24" s="1015"/>
      <c r="B24" s="1005"/>
      <c r="C24" s="257" t="s">
        <v>1602</v>
      </c>
      <c r="D24" s="257" t="s">
        <v>1581</v>
      </c>
      <c r="E24" s="258">
        <f t="shared" si="0"/>
        <v>11031</v>
      </c>
      <c r="F24" s="256">
        <v>11031000</v>
      </c>
    </row>
    <row r="25" spans="1:6" ht="24" customHeight="1">
      <c r="A25" s="1015"/>
      <c r="B25" s="1005"/>
      <c r="C25" s="257" t="s">
        <v>1603</v>
      </c>
      <c r="D25" s="257" t="s">
        <v>1581</v>
      </c>
      <c r="E25" s="258">
        <f t="shared" si="0"/>
        <v>28058</v>
      </c>
      <c r="F25" s="256">
        <v>28058000</v>
      </c>
    </row>
    <row r="26" spans="1:6" ht="15.75" customHeight="1">
      <c r="A26" s="1015"/>
      <c r="B26" s="1005"/>
      <c r="C26" s="257" t="s">
        <v>1604</v>
      </c>
      <c r="D26" s="257" t="s">
        <v>1581</v>
      </c>
      <c r="E26" s="258">
        <f t="shared" si="0"/>
        <v>13697</v>
      </c>
      <c r="F26" s="256">
        <v>13697000</v>
      </c>
    </row>
    <row r="27" spans="1:6" ht="24.75" customHeight="1">
      <c r="A27" s="1015"/>
      <c r="B27" s="1005"/>
      <c r="C27" s="257" t="s">
        <v>1605</v>
      </c>
      <c r="D27" s="257" t="s">
        <v>1581</v>
      </c>
      <c r="E27" s="258">
        <f t="shared" si="0"/>
        <v>19498</v>
      </c>
      <c r="F27" s="256">
        <v>19498000</v>
      </c>
    </row>
    <row r="28" spans="1:6" ht="12.75" customHeight="1">
      <c r="A28" s="1015"/>
      <c r="B28" s="1005"/>
      <c r="C28" s="257" t="s">
        <v>1606</v>
      </c>
      <c r="D28" s="257" t="s">
        <v>1581</v>
      </c>
      <c r="E28" s="258">
        <f t="shared" si="0"/>
        <v>2906</v>
      </c>
      <c r="F28" s="256">
        <v>2906000</v>
      </c>
    </row>
    <row r="29" spans="1:6" ht="12.75" customHeight="1">
      <c r="A29" s="1015"/>
      <c r="B29" s="1005"/>
      <c r="C29" s="257" t="s">
        <v>1607</v>
      </c>
      <c r="D29" s="257" t="s">
        <v>1581</v>
      </c>
      <c r="E29" s="258">
        <f t="shared" si="0"/>
        <v>14886</v>
      </c>
      <c r="F29" s="256">
        <v>14886000</v>
      </c>
    </row>
    <row r="30" spans="1:6" ht="12.75" customHeight="1">
      <c r="A30" s="1015"/>
      <c r="B30" s="1005"/>
      <c r="C30" s="257" t="s">
        <v>1608</v>
      </c>
      <c r="D30" s="257" t="s">
        <v>1581</v>
      </c>
      <c r="E30" s="258">
        <f t="shared" si="0"/>
        <v>5765</v>
      </c>
      <c r="F30" s="256">
        <v>5765000</v>
      </c>
    </row>
    <row r="31" spans="1:6" ht="21" customHeight="1">
      <c r="A31" s="1015"/>
      <c r="B31" s="1005"/>
      <c r="C31" s="257" t="s">
        <v>1609</v>
      </c>
      <c r="D31" s="257" t="s">
        <v>1581</v>
      </c>
      <c r="E31" s="258">
        <f t="shared" si="0"/>
        <v>1704</v>
      </c>
      <c r="F31" s="256">
        <v>1704000</v>
      </c>
    </row>
    <row r="32" spans="1:6" ht="21" customHeight="1">
      <c r="A32" s="1015"/>
      <c r="B32" s="1005"/>
      <c r="C32" s="257" t="s">
        <v>1610</v>
      </c>
      <c r="D32" s="257" t="s">
        <v>1581</v>
      </c>
      <c r="E32" s="258">
        <f t="shared" si="0"/>
        <v>8132</v>
      </c>
      <c r="F32" s="256">
        <v>8132000</v>
      </c>
    </row>
    <row r="33" spans="1:6" ht="21" customHeight="1">
      <c r="A33" s="1015"/>
      <c r="B33" s="1005"/>
      <c r="C33" s="257" t="s">
        <v>1611</v>
      </c>
      <c r="D33" s="257" t="s">
        <v>1581</v>
      </c>
      <c r="E33" s="258">
        <f t="shared" si="0"/>
        <v>2659</v>
      </c>
      <c r="F33" s="256">
        <v>2659000</v>
      </c>
    </row>
    <row r="34" spans="1:6" ht="12.75" customHeight="1">
      <c r="A34" s="1015"/>
      <c r="B34" s="1006"/>
      <c r="C34" s="257" t="s">
        <v>1612</v>
      </c>
      <c r="D34" s="257" t="s">
        <v>1581</v>
      </c>
      <c r="E34" s="258">
        <f t="shared" si="0"/>
        <v>0</v>
      </c>
      <c r="F34" s="256">
        <v>0</v>
      </c>
    </row>
    <row r="35" spans="1:6">
      <c r="A35" s="1015"/>
      <c r="B35" s="1024" t="s">
        <v>1613</v>
      </c>
      <c r="C35" s="1023"/>
      <c r="D35" s="1023"/>
      <c r="E35" s="259">
        <f t="shared" si="0"/>
        <v>236844</v>
      </c>
      <c r="F35" s="256">
        <v>236844000</v>
      </c>
    </row>
    <row r="36" spans="1:6" ht="15" customHeight="1">
      <c r="A36" s="1015"/>
      <c r="B36" s="1004" t="s">
        <v>1614</v>
      </c>
      <c r="C36" s="257" t="s">
        <v>1615</v>
      </c>
      <c r="D36" s="257" t="s">
        <v>1581</v>
      </c>
      <c r="E36" s="258">
        <f t="shared" si="0"/>
        <v>10263</v>
      </c>
      <c r="F36" s="256">
        <v>10263000</v>
      </c>
    </row>
    <row r="37" spans="1:6" ht="13.5" customHeight="1">
      <c r="A37" s="1015"/>
      <c r="B37" s="1005"/>
      <c r="C37" s="257" t="s">
        <v>1616</v>
      </c>
      <c r="D37" s="257" t="s">
        <v>1581</v>
      </c>
      <c r="E37" s="258">
        <f t="shared" si="0"/>
        <v>11043</v>
      </c>
      <c r="F37" s="256">
        <v>11043000</v>
      </c>
    </row>
    <row r="38" spans="1:6" ht="21" customHeight="1">
      <c r="A38" s="1015"/>
      <c r="B38" s="1005"/>
      <c r="C38" s="257" t="s">
        <v>1617</v>
      </c>
      <c r="D38" s="257" t="s">
        <v>1581</v>
      </c>
      <c r="E38" s="258">
        <f t="shared" si="0"/>
        <v>16287</v>
      </c>
      <c r="F38" s="256">
        <v>16287000</v>
      </c>
    </row>
    <row r="39" spans="1:6" ht="12.75" customHeight="1">
      <c r="A39" s="1015"/>
      <c r="B39" s="1005"/>
      <c r="C39" s="257" t="s">
        <v>1618</v>
      </c>
      <c r="D39" s="257" t="s">
        <v>1581</v>
      </c>
      <c r="E39" s="258">
        <f t="shared" si="0"/>
        <v>19702</v>
      </c>
      <c r="F39" s="256">
        <v>19702000</v>
      </c>
    </row>
    <row r="40" spans="1:6" ht="21" customHeight="1">
      <c r="A40" s="1015"/>
      <c r="B40" s="1006"/>
      <c r="C40" s="257" t="s">
        <v>1619</v>
      </c>
      <c r="D40" s="257" t="s">
        <v>1581</v>
      </c>
      <c r="E40" s="258">
        <f t="shared" si="0"/>
        <v>8767</v>
      </c>
      <c r="F40" s="256">
        <v>8767000</v>
      </c>
    </row>
    <row r="41" spans="1:6" ht="13.8" thickBot="1">
      <c r="A41" s="1016"/>
      <c r="B41" s="1007" t="s">
        <v>1620</v>
      </c>
      <c r="C41" s="1008"/>
      <c r="D41" s="1008"/>
      <c r="E41" s="260">
        <f t="shared" si="0"/>
        <v>66062</v>
      </c>
      <c r="F41" s="256">
        <v>66062000</v>
      </c>
    </row>
    <row r="42" spans="1:6" ht="13.5" customHeight="1">
      <c r="A42" s="1014" t="s">
        <v>1578</v>
      </c>
      <c r="B42" s="1017" t="s">
        <v>1621</v>
      </c>
      <c r="C42" s="261" t="s">
        <v>1622</v>
      </c>
      <c r="D42" s="254" t="s">
        <v>1581</v>
      </c>
      <c r="E42" s="255">
        <f t="shared" si="0"/>
        <v>14372</v>
      </c>
      <c r="F42" s="256">
        <v>14372000</v>
      </c>
    </row>
    <row r="43" spans="1:6" ht="15.75" customHeight="1">
      <c r="A43" s="1015"/>
      <c r="B43" s="1018"/>
      <c r="C43" s="262" t="s">
        <v>1623</v>
      </c>
      <c r="D43" s="257" t="s">
        <v>1581</v>
      </c>
      <c r="E43" s="258">
        <f t="shared" si="0"/>
        <v>26125</v>
      </c>
      <c r="F43" s="256">
        <v>26125000</v>
      </c>
    </row>
    <row r="44" spans="1:6" ht="15" customHeight="1">
      <c r="A44" s="1015"/>
      <c r="B44" s="1018"/>
      <c r="C44" s="262" t="s">
        <v>1624</v>
      </c>
      <c r="D44" s="257" t="s">
        <v>1581</v>
      </c>
      <c r="E44" s="258">
        <f t="shared" si="0"/>
        <v>28327</v>
      </c>
      <c r="F44" s="256">
        <v>28327000</v>
      </c>
    </row>
    <row r="45" spans="1:6" ht="15" customHeight="1">
      <c r="A45" s="1015"/>
      <c r="B45" s="1018"/>
      <c r="C45" s="262" t="s">
        <v>1625</v>
      </c>
      <c r="D45" s="257" t="s">
        <v>1581</v>
      </c>
      <c r="E45" s="258">
        <f t="shared" si="0"/>
        <v>41840</v>
      </c>
      <c r="F45" s="256">
        <v>41840000</v>
      </c>
    </row>
    <row r="46" spans="1:6" ht="21" customHeight="1">
      <c r="A46" s="1015"/>
      <c r="B46" s="1018"/>
      <c r="C46" s="262" t="s">
        <v>1626</v>
      </c>
      <c r="D46" s="257" t="s">
        <v>1581</v>
      </c>
      <c r="E46" s="258">
        <f t="shared" si="0"/>
        <v>29656</v>
      </c>
      <c r="F46" s="256">
        <v>29656000</v>
      </c>
    </row>
    <row r="47" spans="1:6" ht="15.75" customHeight="1">
      <c r="A47" s="1015"/>
      <c r="B47" s="1018"/>
      <c r="C47" s="262" t="s">
        <v>1627</v>
      </c>
      <c r="D47" s="257" t="s">
        <v>1581</v>
      </c>
      <c r="E47" s="258">
        <f t="shared" si="0"/>
        <v>24662</v>
      </c>
      <c r="F47" s="256">
        <v>24662000</v>
      </c>
    </row>
    <row r="48" spans="1:6" ht="20.399999999999999">
      <c r="A48" s="1015"/>
      <c r="B48" s="1018"/>
      <c r="C48" s="262" t="s">
        <v>1628</v>
      </c>
      <c r="D48" s="257" t="s">
        <v>1581</v>
      </c>
      <c r="E48" s="258">
        <f t="shared" si="0"/>
        <v>0</v>
      </c>
      <c r="F48" s="256">
        <v>0</v>
      </c>
    </row>
    <row r="49" spans="1:6" ht="15.75" customHeight="1">
      <c r="A49" s="1015"/>
      <c r="B49" s="1018"/>
      <c r="C49" s="262" t="s">
        <v>1629</v>
      </c>
      <c r="D49" s="257" t="s">
        <v>1581</v>
      </c>
      <c r="E49" s="258">
        <f t="shared" si="0"/>
        <v>26972</v>
      </c>
      <c r="F49" s="256">
        <v>26972000</v>
      </c>
    </row>
    <row r="50" spans="1:6" ht="21" customHeight="1">
      <c r="A50" s="1015"/>
      <c r="B50" s="1018"/>
      <c r="C50" s="262" t="s">
        <v>1630</v>
      </c>
      <c r="D50" s="257" t="s">
        <v>1581</v>
      </c>
      <c r="E50" s="258">
        <f t="shared" si="0"/>
        <v>24646</v>
      </c>
      <c r="F50" s="256">
        <v>24646000</v>
      </c>
    </row>
    <row r="51" spans="1:6" ht="21" customHeight="1">
      <c r="A51" s="1015"/>
      <c r="B51" s="1018"/>
      <c r="C51" s="262" t="s">
        <v>1631</v>
      </c>
      <c r="D51" s="257" t="s">
        <v>1581</v>
      </c>
      <c r="E51" s="258">
        <f t="shared" si="0"/>
        <v>15364</v>
      </c>
      <c r="F51" s="256">
        <v>15364000</v>
      </c>
    </row>
    <row r="52" spans="1:6" ht="21" customHeight="1">
      <c r="A52" s="1015"/>
      <c r="B52" s="1018"/>
      <c r="C52" s="262" t="s">
        <v>1632</v>
      </c>
      <c r="D52" s="257" t="s">
        <v>1581</v>
      </c>
      <c r="E52" s="258">
        <f t="shared" si="0"/>
        <v>19641</v>
      </c>
      <c r="F52" s="256">
        <v>19641000</v>
      </c>
    </row>
    <row r="53" spans="1:6" ht="24" customHeight="1">
      <c r="A53" s="1015"/>
      <c r="B53" s="1018"/>
      <c r="C53" s="262" t="s">
        <v>1633</v>
      </c>
      <c r="D53" s="257" t="s">
        <v>1581</v>
      </c>
      <c r="E53" s="258">
        <f t="shared" si="0"/>
        <v>7933</v>
      </c>
      <c r="F53" s="256">
        <v>7933000</v>
      </c>
    </row>
    <row r="54" spans="1:6" ht="12.75" customHeight="1">
      <c r="A54" s="1015"/>
      <c r="B54" s="1018"/>
      <c r="C54" s="1020" t="s">
        <v>1634</v>
      </c>
      <c r="D54" s="257" t="s">
        <v>1581</v>
      </c>
      <c r="E54" s="258">
        <f t="shared" si="0"/>
        <v>17935</v>
      </c>
      <c r="F54" s="256">
        <v>17935000</v>
      </c>
    </row>
    <row r="55" spans="1:6" ht="22.5" customHeight="1">
      <c r="A55" s="1015"/>
      <c r="B55" s="1018"/>
      <c r="C55" s="1021"/>
      <c r="D55" s="257" t="s">
        <v>1635</v>
      </c>
      <c r="E55" s="258">
        <f t="shared" si="0"/>
        <v>4536.8</v>
      </c>
      <c r="F55" s="256">
        <v>4536800</v>
      </c>
    </row>
    <row r="56" spans="1:6" ht="26.25" customHeight="1">
      <c r="A56" s="1015"/>
      <c r="B56" s="1018"/>
      <c r="C56" s="262" t="s">
        <v>1636</v>
      </c>
      <c r="D56" s="257" t="s">
        <v>1581</v>
      </c>
      <c r="E56" s="258">
        <f t="shared" si="0"/>
        <v>0</v>
      </c>
      <c r="F56" s="256">
        <v>0</v>
      </c>
    </row>
    <row r="57" spans="1:6" ht="21" customHeight="1">
      <c r="A57" s="1015"/>
      <c r="B57" s="1018"/>
      <c r="C57" s="262" t="s">
        <v>1637</v>
      </c>
      <c r="D57" s="257" t="s">
        <v>1581</v>
      </c>
      <c r="E57" s="258">
        <f t="shared" si="0"/>
        <v>14501</v>
      </c>
      <c r="F57" s="256">
        <v>14501000</v>
      </c>
    </row>
    <row r="58" spans="1:6" ht="27" customHeight="1">
      <c r="A58" s="1015"/>
      <c r="B58" s="1018"/>
      <c r="C58" s="262" t="s">
        <v>1638</v>
      </c>
      <c r="D58" s="257" t="s">
        <v>1581</v>
      </c>
      <c r="E58" s="258">
        <f t="shared" si="0"/>
        <v>27917</v>
      </c>
      <c r="F58" s="256">
        <v>27917000</v>
      </c>
    </row>
    <row r="59" spans="1:6" ht="21" customHeight="1">
      <c r="A59" s="1015"/>
      <c r="B59" s="1018"/>
      <c r="C59" s="262" t="s">
        <v>1639</v>
      </c>
      <c r="D59" s="257" t="s">
        <v>1581</v>
      </c>
      <c r="E59" s="258">
        <f t="shared" si="0"/>
        <v>22840</v>
      </c>
      <c r="F59" s="256">
        <v>22840000</v>
      </c>
    </row>
    <row r="60" spans="1:6" ht="21" customHeight="1">
      <c r="A60" s="1015"/>
      <c r="B60" s="1018"/>
      <c r="C60" s="262" t="s">
        <v>1640</v>
      </c>
      <c r="D60" s="257" t="s">
        <v>1581</v>
      </c>
      <c r="E60" s="258">
        <f t="shared" si="0"/>
        <v>51946</v>
      </c>
      <c r="F60" s="256">
        <v>51946000</v>
      </c>
    </row>
    <row r="61" spans="1:6" ht="21" customHeight="1">
      <c r="A61" s="1015"/>
      <c r="B61" s="1018"/>
      <c r="C61" s="262" t="s">
        <v>1641</v>
      </c>
      <c r="D61" s="257" t="s">
        <v>1581</v>
      </c>
      <c r="E61" s="258">
        <f t="shared" si="0"/>
        <v>0</v>
      </c>
      <c r="F61" s="256">
        <v>0</v>
      </c>
    </row>
    <row r="62" spans="1:6" ht="21" customHeight="1">
      <c r="A62" s="1015"/>
      <c r="B62" s="1018"/>
      <c r="C62" s="262" t="s">
        <v>1642</v>
      </c>
      <c r="D62" s="257" t="s">
        <v>1581</v>
      </c>
      <c r="E62" s="258">
        <f t="shared" si="0"/>
        <v>31102</v>
      </c>
      <c r="F62" s="256">
        <v>31102000</v>
      </c>
    </row>
    <row r="63" spans="1:6" ht="21" customHeight="1">
      <c r="A63" s="1015"/>
      <c r="B63" s="1018"/>
      <c r="C63" s="262" t="s">
        <v>1643</v>
      </c>
      <c r="D63" s="257" t="s">
        <v>1581</v>
      </c>
      <c r="E63" s="258">
        <f t="shared" si="0"/>
        <v>84609</v>
      </c>
      <c r="F63" s="256">
        <v>84609000</v>
      </c>
    </row>
    <row r="64" spans="1:6" ht="21" customHeight="1">
      <c r="A64" s="1015"/>
      <c r="B64" s="1018"/>
      <c r="C64" s="262" t="s">
        <v>1644</v>
      </c>
      <c r="D64" s="257" t="s">
        <v>1581</v>
      </c>
      <c r="E64" s="258">
        <f t="shared" si="0"/>
        <v>27584</v>
      </c>
      <c r="F64" s="256">
        <v>27584000</v>
      </c>
    </row>
    <row r="65" spans="1:6" ht="21" customHeight="1">
      <c r="A65" s="1015"/>
      <c r="B65" s="1018"/>
      <c r="C65" s="262" t="s">
        <v>1645</v>
      </c>
      <c r="D65" s="257" t="s">
        <v>1581</v>
      </c>
      <c r="E65" s="258">
        <f t="shared" si="0"/>
        <v>39474</v>
      </c>
      <c r="F65" s="256">
        <v>39474000</v>
      </c>
    </row>
    <row r="66" spans="1:6" ht="24" customHeight="1">
      <c r="A66" s="1015"/>
      <c r="B66" s="1018"/>
      <c r="C66" s="262" t="s">
        <v>1646</v>
      </c>
      <c r="D66" s="257" t="s">
        <v>1581</v>
      </c>
      <c r="E66" s="258">
        <f t="shared" si="0"/>
        <v>42734</v>
      </c>
      <c r="F66" s="256">
        <v>42734000</v>
      </c>
    </row>
    <row r="67" spans="1:6" ht="21" customHeight="1">
      <c r="A67" s="1015"/>
      <c r="B67" s="1018"/>
      <c r="C67" s="262" t="s">
        <v>1647</v>
      </c>
      <c r="D67" s="257" t="s">
        <v>1581</v>
      </c>
      <c r="E67" s="258">
        <f t="shared" si="0"/>
        <v>19803</v>
      </c>
      <c r="F67" s="256">
        <v>19803000</v>
      </c>
    </row>
    <row r="68" spans="1:6" ht="22.5" customHeight="1">
      <c r="A68" s="1015"/>
      <c r="B68" s="1018"/>
      <c r="C68" s="262" t="s">
        <v>1648</v>
      </c>
      <c r="D68" s="257" t="s">
        <v>1581</v>
      </c>
      <c r="E68" s="258">
        <f t="shared" si="0"/>
        <v>76276</v>
      </c>
      <c r="F68" s="256">
        <v>76276000</v>
      </c>
    </row>
    <row r="69" spans="1:6" ht="12.75" customHeight="1">
      <c r="A69" s="1015"/>
      <c r="B69" s="1018"/>
      <c r="C69" s="262" t="s">
        <v>1649</v>
      </c>
      <c r="D69" s="257" t="s">
        <v>1581</v>
      </c>
      <c r="E69" s="258">
        <f t="shared" ref="E69:E113" si="1">F69/1000</f>
        <v>14969</v>
      </c>
      <c r="F69" s="256">
        <v>14969000</v>
      </c>
    </row>
    <row r="70" spans="1:6" ht="12.75" customHeight="1">
      <c r="A70" s="1015"/>
      <c r="B70" s="1018"/>
      <c r="C70" s="262" t="s">
        <v>1650</v>
      </c>
      <c r="D70" s="257" t="s">
        <v>1581</v>
      </c>
      <c r="E70" s="258">
        <f t="shared" si="1"/>
        <v>13980</v>
      </c>
      <c r="F70" s="256">
        <v>13980000</v>
      </c>
    </row>
    <row r="71" spans="1:6" ht="21" customHeight="1">
      <c r="A71" s="1015"/>
      <c r="B71" s="1018"/>
      <c r="C71" s="262" t="s">
        <v>1651</v>
      </c>
      <c r="D71" s="257" t="s">
        <v>1581</v>
      </c>
      <c r="E71" s="258">
        <f t="shared" si="1"/>
        <v>4809</v>
      </c>
      <c r="F71" s="256">
        <v>4809000</v>
      </c>
    </row>
    <row r="72" spans="1:6" ht="21" customHeight="1">
      <c r="A72" s="1015"/>
      <c r="B72" s="1018"/>
      <c r="C72" s="262" t="s">
        <v>1652</v>
      </c>
      <c r="D72" s="257" t="s">
        <v>1581</v>
      </c>
      <c r="E72" s="258">
        <f t="shared" si="1"/>
        <v>12283</v>
      </c>
      <c r="F72" s="256">
        <v>12283000</v>
      </c>
    </row>
    <row r="73" spans="1:6" ht="12.75" customHeight="1">
      <c r="A73" s="1015"/>
      <c r="B73" s="1018"/>
      <c r="C73" s="262" t="s">
        <v>1653</v>
      </c>
      <c r="D73" s="257" t="s">
        <v>1581</v>
      </c>
      <c r="E73" s="258">
        <f t="shared" si="1"/>
        <v>13993</v>
      </c>
      <c r="F73" s="256">
        <v>13993000</v>
      </c>
    </row>
    <row r="74" spans="1:6" ht="20.399999999999999">
      <c r="A74" s="1015"/>
      <c r="B74" s="1018"/>
      <c r="C74" s="262" t="s">
        <v>1654</v>
      </c>
      <c r="D74" s="257" t="s">
        <v>1581</v>
      </c>
      <c r="E74" s="258">
        <f t="shared" si="1"/>
        <v>18480</v>
      </c>
      <c r="F74" s="256">
        <v>18480000</v>
      </c>
    </row>
    <row r="75" spans="1:6" ht="21" customHeight="1">
      <c r="A75" s="1015"/>
      <c r="B75" s="1018"/>
      <c r="C75" s="262" t="s">
        <v>1655</v>
      </c>
      <c r="D75" s="257" t="s">
        <v>1581</v>
      </c>
      <c r="E75" s="258">
        <f t="shared" si="1"/>
        <v>14063</v>
      </c>
      <c r="F75" s="256">
        <v>14063000</v>
      </c>
    </row>
    <row r="76" spans="1:6" ht="20.399999999999999">
      <c r="A76" s="1015"/>
      <c r="B76" s="1018"/>
      <c r="C76" s="262" t="s">
        <v>1656</v>
      </c>
      <c r="D76" s="257" t="s">
        <v>1581</v>
      </c>
      <c r="E76" s="258">
        <f t="shared" si="1"/>
        <v>16352</v>
      </c>
      <c r="F76" s="256">
        <v>16352000</v>
      </c>
    </row>
    <row r="77" spans="1:6" ht="21" customHeight="1" thickBot="1">
      <c r="A77" s="1016"/>
      <c r="B77" s="1019"/>
      <c r="C77" s="263" t="s">
        <v>1657</v>
      </c>
      <c r="D77" s="264" t="s">
        <v>1581</v>
      </c>
      <c r="E77" s="265">
        <f t="shared" si="1"/>
        <v>9654</v>
      </c>
      <c r="F77" s="256">
        <v>9654000</v>
      </c>
    </row>
    <row r="78" spans="1:6" ht="21" customHeight="1">
      <c r="A78" s="1014" t="s">
        <v>1578</v>
      </c>
      <c r="B78" s="1017"/>
      <c r="C78" s="254" t="s">
        <v>1658</v>
      </c>
      <c r="D78" s="254" t="s">
        <v>1581</v>
      </c>
      <c r="E78" s="255">
        <f t="shared" si="1"/>
        <v>12305</v>
      </c>
      <c r="F78" s="256">
        <v>12305000</v>
      </c>
    </row>
    <row r="79" spans="1:6" ht="21" customHeight="1">
      <c r="A79" s="1015"/>
      <c r="B79" s="1018"/>
      <c r="C79" s="262" t="s">
        <v>1659</v>
      </c>
      <c r="D79" s="257" t="s">
        <v>1581</v>
      </c>
      <c r="E79" s="258">
        <f t="shared" si="1"/>
        <v>9955</v>
      </c>
      <c r="F79" s="256">
        <v>9955000</v>
      </c>
    </row>
    <row r="80" spans="1:6">
      <c r="A80" s="1015"/>
      <c r="B80" s="1022" t="s">
        <v>1660</v>
      </c>
      <c r="C80" s="1023"/>
      <c r="D80" s="1023"/>
      <c r="E80" s="259">
        <f t="shared" si="1"/>
        <v>861638.8</v>
      </c>
      <c r="F80" s="256">
        <v>861638800</v>
      </c>
    </row>
    <row r="81" spans="1:6" ht="25.5" customHeight="1">
      <c r="A81" s="1015"/>
      <c r="B81" s="1004" t="s">
        <v>1661</v>
      </c>
      <c r="C81" s="257" t="s">
        <v>1662</v>
      </c>
      <c r="D81" s="257" t="s">
        <v>1581</v>
      </c>
      <c r="E81" s="258">
        <f t="shared" si="1"/>
        <v>6943</v>
      </c>
      <c r="F81" s="256">
        <v>6943000</v>
      </c>
    </row>
    <row r="82" spans="1:6" ht="21" customHeight="1">
      <c r="A82" s="1015"/>
      <c r="B82" s="1005"/>
      <c r="C82" s="257" t="s">
        <v>1663</v>
      </c>
      <c r="D82" s="257" t="s">
        <v>1581</v>
      </c>
      <c r="E82" s="258">
        <f t="shared" si="1"/>
        <v>11205</v>
      </c>
      <c r="F82" s="256">
        <v>11205000</v>
      </c>
    </row>
    <row r="83" spans="1:6" ht="21" customHeight="1">
      <c r="A83" s="1015"/>
      <c r="B83" s="1005"/>
      <c r="C83" s="257" t="s">
        <v>1664</v>
      </c>
      <c r="D83" s="257" t="s">
        <v>1581</v>
      </c>
      <c r="E83" s="258">
        <f t="shared" si="1"/>
        <v>10018</v>
      </c>
      <c r="F83" s="256">
        <v>10018000</v>
      </c>
    </row>
    <row r="84" spans="1:6" ht="21" customHeight="1">
      <c r="A84" s="1015"/>
      <c r="B84" s="1005"/>
      <c r="C84" s="257" t="s">
        <v>1665</v>
      </c>
      <c r="D84" s="257" t="s">
        <v>1581</v>
      </c>
      <c r="E84" s="258">
        <f t="shared" si="1"/>
        <v>10399</v>
      </c>
      <c r="F84" s="256">
        <v>10399000</v>
      </c>
    </row>
    <row r="85" spans="1:6" ht="21" customHeight="1">
      <c r="A85" s="1015"/>
      <c r="B85" s="1005"/>
      <c r="C85" s="257" t="s">
        <v>1666</v>
      </c>
      <c r="D85" s="257" t="s">
        <v>1581</v>
      </c>
      <c r="E85" s="258">
        <f t="shared" si="1"/>
        <v>14797</v>
      </c>
      <c r="F85" s="256">
        <v>14797000</v>
      </c>
    </row>
    <row r="86" spans="1:6" ht="21" customHeight="1">
      <c r="A86" s="1015"/>
      <c r="B86" s="1005"/>
      <c r="C86" s="257" t="s">
        <v>1667</v>
      </c>
      <c r="D86" s="257" t="s">
        <v>1581</v>
      </c>
      <c r="E86" s="258">
        <f t="shared" si="1"/>
        <v>13191</v>
      </c>
      <c r="F86" s="256">
        <v>13191000</v>
      </c>
    </row>
    <row r="87" spans="1:6" ht="21" customHeight="1">
      <c r="A87" s="1015"/>
      <c r="B87" s="1005"/>
      <c r="C87" s="257" t="s">
        <v>1668</v>
      </c>
      <c r="D87" s="257" t="s">
        <v>1581</v>
      </c>
      <c r="E87" s="258">
        <f t="shared" si="1"/>
        <v>3396</v>
      </c>
      <c r="F87" s="256">
        <v>3396000</v>
      </c>
    </row>
    <row r="88" spans="1:6" ht="12.75" customHeight="1">
      <c r="A88" s="1015"/>
      <c r="B88" s="1006"/>
      <c r="C88" s="257" t="s">
        <v>1669</v>
      </c>
      <c r="D88" s="257" t="s">
        <v>1581</v>
      </c>
      <c r="E88" s="258">
        <f t="shared" si="1"/>
        <v>0</v>
      </c>
      <c r="F88" s="256">
        <v>0</v>
      </c>
    </row>
    <row r="89" spans="1:6">
      <c r="A89" s="1015"/>
      <c r="B89" s="1024" t="s">
        <v>1670</v>
      </c>
      <c r="C89" s="1023"/>
      <c r="D89" s="1023"/>
      <c r="E89" s="259">
        <f t="shared" si="1"/>
        <v>69949</v>
      </c>
      <c r="F89" s="256">
        <v>69949000</v>
      </c>
    </row>
    <row r="90" spans="1:6" ht="22.5" customHeight="1">
      <c r="A90" s="1015"/>
      <c r="B90" s="1004" t="s">
        <v>1671</v>
      </c>
      <c r="C90" s="257" t="s">
        <v>1672</v>
      </c>
      <c r="D90" s="257" t="s">
        <v>1581</v>
      </c>
      <c r="E90" s="258">
        <f t="shared" si="1"/>
        <v>3526</v>
      </c>
      <c r="F90" s="256">
        <v>3526000</v>
      </c>
    </row>
    <row r="91" spans="1:6" ht="21" customHeight="1">
      <c r="A91" s="1015"/>
      <c r="B91" s="1005"/>
      <c r="C91" s="257" t="s">
        <v>1673</v>
      </c>
      <c r="D91" s="257" t="s">
        <v>1581</v>
      </c>
      <c r="E91" s="258">
        <f t="shared" si="1"/>
        <v>29604</v>
      </c>
      <c r="F91" s="256">
        <v>29604000</v>
      </c>
    </row>
    <row r="92" spans="1:6" ht="23.25" customHeight="1">
      <c r="A92" s="1015"/>
      <c r="B92" s="1005"/>
      <c r="C92" s="257" t="s">
        <v>1674</v>
      </c>
      <c r="D92" s="257" t="s">
        <v>1581</v>
      </c>
      <c r="E92" s="258">
        <f t="shared" si="1"/>
        <v>9110</v>
      </c>
      <c r="F92" s="256">
        <v>9110000</v>
      </c>
    </row>
    <row r="93" spans="1:6" ht="21" customHeight="1">
      <c r="A93" s="1015"/>
      <c r="B93" s="1005"/>
      <c r="C93" s="257" t="s">
        <v>1675</v>
      </c>
      <c r="D93" s="257" t="s">
        <v>1581</v>
      </c>
      <c r="E93" s="258">
        <f t="shared" si="1"/>
        <v>28844</v>
      </c>
      <c r="F93" s="256">
        <v>28844000</v>
      </c>
    </row>
    <row r="94" spans="1:6" ht="21" customHeight="1">
      <c r="A94" s="1015"/>
      <c r="B94" s="1005"/>
      <c r="C94" s="257" t="s">
        <v>1676</v>
      </c>
      <c r="D94" s="257" t="s">
        <v>1581</v>
      </c>
      <c r="E94" s="258">
        <f t="shared" si="1"/>
        <v>12478</v>
      </c>
      <c r="F94" s="256">
        <v>12478000</v>
      </c>
    </row>
    <row r="95" spans="1:6" ht="21" customHeight="1">
      <c r="A95" s="1015"/>
      <c r="B95" s="1006"/>
      <c r="C95" s="257" t="s">
        <v>1677</v>
      </c>
      <c r="D95" s="257" t="s">
        <v>1581</v>
      </c>
      <c r="E95" s="258">
        <f t="shared" si="1"/>
        <v>7321</v>
      </c>
      <c r="F95" s="256">
        <v>7321000</v>
      </c>
    </row>
    <row r="96" spans="1:6">
      <c r="A96" s="1015"/>
      <c r="B96" s="1024" t="s">
        <v>1678</v>
      </c>
      <c r="C96" s="1023"/>
      <c r="D96" s="1023"/>
      <c r="E96" s="259">
        <f t="shared" si="1"/>
        <v>90883</v>
      </c>
      <c r="F96" s="256">
        <v>90883000</v>
      </c>
    </row>
    <row r="97" spans="1:6" ht="12.75" customHeight="1">
      <c r="A97" s="1015"/>
      <c r="B97" s="1004" t="s">
        <v>1679</v>
      </c>
      <c r="C97" s="257" t="s">
        <v>1680</v>
      </c>
      <c r="D97" s="257" t="s">
        <v>1581</v>
      </c>
      <c r="E97" s="258">
        <f t="shared" si="1"/>
        <v>7966</v>
      </c>
      <c r="F97" s="256">
        <v>7966000</v>
      </c>
    </row>
    <row r="98" spans="1:6" ht="12.75" customHeight="1">
      <c r="A98" s="1015"/>
      <c r="B98" s="1005"/>
      <c r="C98" s="257" t="s">
        <v>1681</v>
      </c>
      <c r="D98" s="257" t="s">
        <v>1581</v>
      </c>
      <c r="E98" s="258">
        <f t="shared" si="1"/>
        <v>8358</v>
      </c>
      <c r="F98" s="256">
        <v>8358000</v>
      </c>
    </row>
    <row r="99" spans="1:6" ht="21" customHeight="1">
      <c r="A99" s="1015"/>
      <c r="B99" s="1005"/>
      <c r="C99" s="257" t="s">
        <v>1682</v>
      </c>
      <c r="D99" s="257" t="s">
        <v>1581</v>
      </c>
      <c r="E99" s="258">
        <f t="shared" si="1"/>
        <v>2523</v>
      </c>
      <c r="F99" s="256">
        <v>2523000</v>
      </c>
    </row>
    <row r="100" spans="1:6" ht="21" customHeight="1">
      <c r="A100" s="1015"/>
      <c r="B100" s="1005"/>
      <c r="C100" s="257" t="s">
        <v>1683</v>
      </c>
      <c r="D100" s="257" t="s">
        <v>1581</v>
      </c>
      <c r="E100" s="258">
        <f t="shared" si="1"/>
        <v>14783</v>
      </c>
      <c r="F100" s="256">
        <v>14783000</v>
      </c>
    </row>
    <row r="101" spans="1:6" ht="21" customHeight="1">
      <c r="A101" s="1015"/>
      <c r="B101" s="1005"/>
      <c r="C101" s="257" t="s">
        <v>1684</v>
      </c>
      <c r="D101" s="257" t="s">
        <v>1581</v>
      </c>
      <c r="E101" s="258">
        <f t="shared" si="1"/>
        <v>14007</v>
      </c>
      <c r="F101" s="256">
        <v>14007000</v>
      </c>
    </row>
    <row r="102" spans="1:6" ht="21" customHeight="1">
      <c r="A102" s="1015"/>
      <c r="B102" s="1005"/>
      <c r="C102" s="257" t="s">
        <v>1685</v>
      </c>
      <c r="D102" s="257" t="s">
        <v>1581</v>
      </c>
      <c r="E102" s="258">
        <f t="shared" si="1"/>
        <v>0</v>
      </c>
      <c r="F102" s="256">
        <v>0</v>
      </c>
    </row>
    <row r="103" spans="1:6" ht="21" customHeight="1">
      <c r="A103" s="1015"/>
      <c r="B103" s="1005"/>
      <c r="C103" s="257" t="s">
        <v>1686</v>
      </c>
      <c r="D103" s="257" t="s">
        <v>1581</v>
      </c>
      <c r="E103" s="258">
        <f t="shared" si="1"/>
        <v>13231</v>
      </c>
      <c r="F103" s="256">
        <v>13231000</v>
      </c>
    </row>
    <row r="104" spans="1:6" ht="21" customHeight="1">
      <c r="A104" s="1015"/>
      <c r="B104" s="1005"/>
      <c r="C104" s="257" t="s">
        <v>1687</v>
      </c>
      <c r="D104" s="257" t="s">
        <v>1581</v>
      </c>
      <c r="E104" s="258">
        <f t="shared" si="1"/>
        <v>14561</v>
      </c>
      <c r="F104" s="256">
        <v>14561000</v>
      </c>
    </row>
    <row r="105" spans="1:6" ht="21" customHeight="1">
      <c r="A105" s="1015"/>
      <c r="B105" s="1005"/>
      <c r="C105" s="257" t="s">
        <v>1688</v>
      </c>
      <c r="D105" s="257" t="s">
        <v>1581</v>
      </c>
      <c r="E105" s="258">
        <f t="shared" si="1"/>
        <v>14086</v>
      </c>
      <c r="F105" s="256">
        <v>14086000</v>
      </c>
    </row>
    <row r="106" spans="1:6" ht="12.75" customHeight="1">
      <c r="A106" s="1015"/>
      <c r="B106" s="1005"/>
      <c r="C106" s="257" t="s">
        <v>1689</v>
      </c>
      <c r="D106" s="257" t="s">
        <v>1581</v>
      </c>
      <c r="E106" s="258">
        <f t="shared" si="1"/>
        <v>10343</v>
      </c>
      <c r="F106" s="256">
        <v>10343000</v>
      </c>
    </row>
    <row r="107" spans="1:6" ht="12.75" customHeight="1">
      <c r="A107" s="1015"/>
      <c r="B107" s="1005"/>
      <c r="C107" s="257" t="s">
        <v>1690</v>
      </c>
      <c r="D107" s="257" t="s">
        <v>1581</v>
      </c>
      <c r="E107" s="258">
        <f t="shared" si="1"/>
        <v>4234</v>
      </c>
      <c r="F107" s="256">
        <v>4234000</v>
      </c>
    </row>
    <row r="108" spans="1:6" ht="12.75" customHeight="1">
      <c r="A108" s="1015"/>
      <c r="B108" s="1005"/>
      <c r="C108" s="257" t="s">
        <v>1691</v>
      </c>
      <c r="D108" s="257" t="s">
        <v>1581</v>
      </c>
      <c r="E108" s="258">
        <f t="shared" si="1"/>
        <v>9877</v>
      </c>
      <c r="F108" s="256">
        <v>9877000</v>
      </c>
    </row>
    <row r="109" spans="1:6" ht="21" customHeight="1">
      <c r="A109" s="1015"/>
      <c r="B109" s="1005"/>
      <c r="C109" s="257" t="s">
        <v>1692</v>
      </c>
      <c r="D109" s="257" t="s">
        <v>1581</v>
      </c>
      <c r="E109" s="258">
        <f t="shared" si="1"/>
        <v>11783</v>
      </c>
      <c r="F109" s="256">
        <v>11783000</v>
      </c>
    </row>
    <row r="110" spans="1:6" ht="21" customHeight="1">
      <c r="A110" s="1015"/>
      <c r="B110" s="1005"/>
      <c r="C110" s="257" t="s">
        <v>1693</v>
      </c>
      <c r="D110" s="257" t="s">
        <v>1581</v>
      </c>
      <c r="E110" s="258">
        <f t="shared" si="1"/>
        <v>3577</v>
      </c>
      <c r="F110" s="256">
        <v>3577000</v>
      </c>
    </row>
    <row r="111" spans="1:6" ht="21" customHeight="1">
      <c r="A111" s="1015"/>
      <c r="B111" s="1006"/>
      <c r="C111" s="257" t="s">
        <v>1694</v>
      </c>
      <c r="D111" s="257" t="s">
        <v>1581</v>
      </c>
      <c r="E111" s="258">
        <f t="shared" si="1"/>
        <v>4915</v>
      </c>
      <c r="F111" s="256">
        <v>4915000</v>
      </c>
    </row>
    <row r="112" spans="1:6" ht="13.8" thickBot="1">
      <c r="A112" s="1016"/>
      <c r="B112" s="1007" t="s">
        <v>1695</v>
      </c>
      <c r="C112" s="1008"/>
      <c r="D112" s="1008"/>
      <c r="E112" s="260">
        <f t="shared" si="1"/>
        <v>134244</v>
      </c>
      <c r="F112" s="256">
        <v>134244000</v>
      </c>
    </row>
    <row r="113" spans="1:6" ht="13.8" thickBot="1">
      <c r="A113" s="1009" t="s">
        <v>1234</v>
      </c>
      <c r="B113" s="1010"/>
      <c r="C113" s="1010"/>
      <c r="D113" s="1011"/>
      <c r="E113" s="266">
        <f t="shared" si="1"/>
        <v>1603557.8</v>
      </c>
      <c r="F113" s="256">
        <v>1603557800</v>
      </c>
    </row>
    <row r="115" spans="1:6">
      <c r="A115" s="1012" t="s">
        <v>1696</v>
      </c>
      <c r="B115" s="1012"/>
      <c r="C115" s="1013"/>
      <c r="D115" s="1013"/>
      <c r="E115" s="1013"/>
    </row>
    <row r="116" spans="1:6">
      <c r="A116" s="1013"/>
      <c r="B116" s="1013"/>
      <c r="C116" s="1013"/>
      <c r="D116" s="1013"/>
      <c r="E116" s="1013"/>
    </row>
  </sheetData>
  <mergeCells count="22">
    <mergeCell ref="A1:E2"/>
    <mergeCell ref="A4:A41"/>
    <mergeCell ref="B4:B12"/>
    <mergeCell ref="B13:D13"/>
    <mergeCell ref="B14:B34"/>
    <mergeCell ref="B35:D35"/>
    <mergeCell ref="B36:B40"/>
    <mergeCell ref="B41:D41"/>
    <mergeCell ref="B97:B111"/>
    <mergeCell ref="B112:D112"/>
    <mergeCell ref="A113:D113"/>
    <mergeCell ref="A115:E116"/>
    <mergeCell ref="A42:A77"/>
    <mergeCell ref="B42:B77"/>
    <mergeCell ref="C54:C55"/>
    <mergeCell ref="A78:A112"/>
    <mergeCell ref="B78:B79"/>
    <mergeCell ref="B80:D80"/>
    <mergeCell ref="B81:B88"/>
    <mergeCell ref="B89:D89"/>
    <mergeCell ref="B90:B95"/>
    <mergeCell ref="B96:D96"/>
  </mergeCells>
  <pageMargins left="0.78740157499999996" right="0.78740157499999996" top="0.984251969" bottom="0.984251969" header="0.4921259845" footer="0.4921259845"/>
  <pageSetup paperSize="9" orientation="portrait" r:id="rId1"/>
  <headerFooter alignWithMargins="0">
    <oddHeader>&amp;LPříloha č. 10&amp;CZávěrečný účet Plzeňského kraje za rok 2010</oddHeader>
    <oddFooter>&amp;LKrajský úřad Plzeňského kraje
Odbor ekonomický&amp;C&amp;P&amp;R&amp;D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5"/>
  <sheetViews>
    <sheetView zoomScaleNormal="100" workbookViewId="0">
      <selection activeCell="K13" sqref="K13"/>
    </sheetView>
  </sheetViews>
  <sheetFormatPr defaultRowHeight="13.2"/>
  <cols>
    <col min="1" max="1" width="3.33203125" style="251" bestFit="1" customWidth="1"/>
    <col min="2" max="2" width="3.33203125" style="251" customWidth="1"/>
    <col min="3" max="3" width="31.88671875" style="251" customWidth="1"/>
    <col min="4" max="4" width="5.33203125" style="251" hidden="1" customWidth="1"/>
    <col min="5" max="5" width="41.6640625" style="251" customWidth="1"/>
    <col min="6" max="6" width="11.6640625" style="251" hidden="1" customWidth="1"/>
    <col min="7" max="7" width="10" style="251" customWidth="1"/>
    <col min="8" max="8" width="12.33203125" style="251" customWidth="1"/>
    <col min="9" max="256" width="9.109375" style="251"/>
    <col min="257" max="257" width="3.33203125" style="251" bestFit="1" customWidth="1"/>
    <col min="258" max="258" width="3.33203125" style="251" customWidth="1"/>
    <col min="259" max="259" width="30.6640625" style="251" customWidth="1"/>
    <col min="260" max="260" width="0" style="251" hidden="1" customWidth="1"/>
    <col min="261" max="261" width="41.6640625" style="251" customWidth="1"/>
    <col min="262" max="262" width="0" style="251" hidden="1" customWidth="1"/>
    <col min="263" max="263" width="10.33203125" style="251" customWidth="1"/>
    <col min="264" max="264" width="12.33203125" style="251" customWidth="1"/>
    <col min="265" max="512" width="9.109375" style="251"/>
    <col min="513" max="513" width="3.33203125" style="251" bestFit="1" customWidth="1"/>
    <col min="514" max="514" width="3.33203125" style="251" customWidth="1"/>
    <col min="515" max="515" width="30.6640625" style="251" customWidth="1"/>
    <col min="516" max="516" width="0" style="251" hidden="1" customWidth="1"/>
    <col min="517" max="517" width="41.6640625" style="251" customWidth="1"/>
    <col min="518" max="518" width="0" style="251" hidden="1" customWidth="1"/>
    <col min="519" max="519" width="10.33203125" style="251" customWidth="1"/>
    <col min="520" max="520" width="12.33203125" style="251" customWidth="1"/>
    <col min="521" max="768" width="9.109375" style="251"/>
    <col min="769" max="769" width="3.33203125" style="251" bestFit="1" customWidth="1"/>
    <col min="770" max="770" width="3.33203125" style="251" customWidth="1"/>
    <col min="771" max="771" width="30.6640625" style="251" customWidth="1"/>
    <col min="772" max="772" width="0" style="251" hidden="1" customWidth="1"/>
    <col min="773" max="773" width="41.6640625" style="251" customWidth="1"/>
    <col min="774" max="774" width="0" style="251" hidden="1" customWidth="1"/>
    <col min="775" max="775" width="10.33203125" style="251" customWidth="1"/>
    <col min="776" max="776" width="12.33203125" style="251" customWidth="1"/>
    <col min="777" max="1024" width="9.109375" style="251"/>
    <col min="1025" max="1025" width="3.33203125" style="251" bestFit="1" customWidth="1"/>
    <col min="1026" max="1026" width="3.33203125" style="251" customWidth="1"/>
    <col min="1027" max="1027" width="30.6640625" style="251" customWidth="1"/>
    <col min="1028" max="1028" width="0" style="251" hidden="1" customWidth="1"/>
    <col min="1029" max="1029" width="41.6640625" style="251" customWidth="1"/>
    <col min="1030" max="1030" width="0" style="251" hidden="1" customWidth="1"/>
    <col min="1031" max="1031" width="10.33203125" style="251" customWidth="1"/>
    <col min="1032" max="1032" width="12.33203125" style="251" customWidth="1"/>
    <col min="1033" max="1280" width="9.109375" style="251"/>
    <col min="1281" max="1281" width="3.33203125" style="251" bestFit="1" customWidth="1"/>
    <col min="1282" max="1282" width="3.33203125" style="251" customWidth="1"/>
    <col min="1283" max="1283" width="30.6640625" style="251" customWidth="1"/>
    <col min="1284" max="1284" width="0" style="251" hidden="1" customWidth="1"/>
    <col min="1285" max="1285" width="41.6640625" style="251" customWidth="1"/>
    <col min="1286" max="1286" width="0" style="251" hidden="1" customWidth="1"/>
    <col min="1287" max="1287" width="10.33203125" style="251" customWidth="1"/>
    <col min="1288" max="1288" width="12.33203125" style="251" customWidth="1"/>
    <col min="1289" max="1536" width="9.109375" style="251"/>
    <col min="1537" max="1537" width="3.33203125" style="251" bestFit="1" customWidth="1"/>
    <col min="1538" max="1538" width="3.33203125" style="251" customWidth="1"/>
    <col min="1539" max="1539" width="30.6640625" style="251" customWidth="1"/>
    <col min="1540" max="1540" width="0" style="251" hidden="1" customWidth="1"/>
    <col min="1541" max="1541" width="41.6640625" style="251" customWidth="1"/>
    <col min="1542" max="1542" width="0" style="251" hidden="1" customWidth="1"/>
    <col min="1543" max="1543" width="10.33203125" style="251" customWidth="1"/>
    <col min="1544" max="1544" width="12.33203125" style="251" customWidth="1"/>
    <col min="1545" max="1792" width="9.109375" style="251"/>
    <col min="1793" max="1793" width="3.33203125" style="251" bestFit="1" customWidth="1"/>
    <col min="1794" max="1794" width="3.33203125" style="251" customWidth="1"/>
    <col min="1795" max="1795" width="30.6640625" style="251" customWidth="1"/>
    <col min="1796" max="1796" width="0" style="251" hidden="1" customWidth="1"/>
    <col min="1797" max="1797" width="41.6640625" style="251" customWidth="1"/>
    <col min="1798" max="1798" width="0" style="251" hidden="1" customWidth="1"/>
    <col min="1799" max="1799" width="10.33203125" style="251" customWidth="1"/>
    <col min="1800" max="1800" width="12.33203125" style="251" customWidth="1"/>
    <col min="1801" max="2048" width="9.109375" style="251"/>
    <col min="2049" max="2049" width="3.33203125" style="251" bestFit="1" customWidth="1"/>
    <col min="2050" max="2050" width="3.33203125" style="251" customWidth="1"/>
    <col min="2051" max="2051" width="30.6640625" style="251" customWidth="1"/>
    <col min="2052" max="2052" width="0" style="251" hidden="1" customWidth="1"/>
    <col min="2053" max="2053" width="41.6640625" style="251" customWidth="1"/>
    <col min="2054" max="2054" width="0" style="251" hidden="1" customWidth="1"/>
    <col min="2055" max="2055" width="10.33203125" style="251" customWidth="1"/>
    <col min="2056" max="2056" width="12.33203125" style="251" customWidth="1"/>
    <col min="2057" max="2304" width="9.109375" style="251"/>
    <col min="2305" max="2305" width="3.33203125" style="251" bestFit="1" customWidth="1"/>
    <col min="2306" max="2306" width="3.33203125" style="251" customWidth="1"/>
    <col min="2307" max="2307" width="30.6640625" style="251" customWidth="1"/>
    <col min="2308" max="2308" width="0" style="251" hidden="1" customWidth="1"/>
    <col min="2309" max="2309" width="41.6640625" style="251" customWidth="1"/>
    <col min="2310" max="2310" width="0" style="251" hidden="1" customWidth="1"/>
    <col min="2311" max="2311" width="10.33203125" style="251" customWidth="1"/>
    <col min="2312" max="2312" width="12.33203125" style="251" customWidth="1"/>
    <col min="2313" max="2560" width="9.109375" style="251"/>
    <col min="2561" max="2561" width="3.33203125" style="251" bestFit="1" customWidth="1"/>
    <col min="2562" max="2562" width="3.33203125" style="251" customWidth="1"/>
    <col min="2563" max="2563" width="30.6640625" style="251" customWidth="1"/>
    <col min="2564" max="2564" width="0" style="251" hidden="1" customWidth="1"/>
    <col min="2565" max="2565" width="41.6640625" style="251" customWidth="1"/>
    <col min="2566" max="2566" width="0" style="251" hidden="1" customWidth="1"/>
    <col min="2567" max="2567" width="10.33203125" style="251" customWidth="1"/>
    <col min="2568" max="2568" width="12.33203125" style="251" customWidth="1"/>
    <col min="2569" max="2816" width="9.109375" style="251"/>
    <col min="2817" max="2817" width="3.33203125" style="251" bestFit="1" customWidth="1"/>
    <col min="2818" max="2818" width="3.33203125" style="251" customWidth="1"/>
    <col min="2819" max="2819" width="30.6640625" style="251" customWidth="1"/>
    <col min="2820" max="2820" width="0" style="251" hidden="1" customWidth="1"/>
    <col min="2821" max="2821" width="41.6640625" style="251" customWidth="1"/>
    <col min="2822" max="2822" width="0" style="251" hidden="1" customWidth="1"/>
    <col min="2823" max="2823" width="10.33203125" style="251" customWidth="1"/>
    <col min="2824" max="2824" width="12.33203125" style="251" customWidth="1"/>
    <col min="2825" max="3072" width="9.109375" style="251"/>
    <col min="3073" max="3073" width="3.33203125" style="251" bestFit="1" customWidth="1"/>
    <col min="3074" max="3074" width="3.33203125" style="251" customWidth="1"/>
    <col min="3075" max="3075" width="30.6640625" style="251" customWidth="1"/>
    <col min="3076" max="3076" width="0" style="251" hidden="1" customWidth="1"/>
    <col min="3077" max="3077" width="41.6640625" style="251" customWidth="1"/>
    <col min="3078" max="3078" width="0" style="251" hidden="1" customWidth="1"/>
    <col min="3079" max="3079" width="10.33203125" style="251" customWidth="1"/>
    <col min="3080" max="3080" width="12.33203125" style="251" customWidth="1"/>
    <col min="3081" max="3328" width="9.109375" style="251"/>
    <col min="3329" max="3329" width="3.33203125" style="251" bestFit="1" customWidth="1"/>
    <col min="3330" max="3330" width="3.33203125" style="251" customWidth="1"/>
    <col min="3331" max="3331" width="30.6640625" style="251" customWidth="1"/>
    <col min="3332" max="3332" width="0" style="251" hidden="1" customWidth="1"/>
    <col min="3333" max="3333" width="41.6640625" style="251" customWidth="1"/>
    <col min="3334" max="3334" width="0" style="251" hidden="1" customWidth="1"/>
    <col min="3335" max="3335" width="10.33203125" style="251" customWidth="1"/>
    <col min="3336" max="3336" width="12.33203125" style="251" customWidth="1"/>
    <col min="3337" max="3584" width="9.109375" style="251"/>
    <col min="3585" max="3585" width="3.33203125" style="251" bestFit="1" customWidth="1"/>
    <col min="3586" max="3586" width="3.33203125" style="251" customWidth="1"/>
    <col min="3587" max="3587" width="30.6640625" style="251" customWidth="1"/>
    <col min="3588" max="3588" width="0" style="251" hidden="1" customWidth="1"/>
    <col min="3589" max="3589" width="41.6640625" style="251" customWidth="1"/>
    <col min="3590" max="3590" width="0" style="251" hidden="1" customWidth="1"/>
    <col min="3591" max="3591" width="10.33203125" style="251" customWidth="1"/>
    <col min="3592" max="3592" width="12.33203125" style="251" customWidth="1"/>
    <col min="3593" max="3840" width="9.109375" style="251"/>
    <col min="3841" max="3841" width="3.33203125" style="251" bestFit="1" customWidth="1"/>
    <col min="3842" max="3842" width="3.33203125" style="251" customWidth="1"/>
    <col min="3843" max="3843" width="30.6640625" style="251" customWidth="1"/>
    <col min="3844" max="3844" width="0" style="251" hidden="1" customWidth="1"/>
    <col min="3845" max="3845" width="41.6640625" style="251" customWidth="1"/>
    <col min="3846" max="3846" width="0" style="251" hidden="1" customWidth="1"/>
    <col min="3847" max="3847" width="10.33203125" style="251" customWidth="1"/>
    <col min="3848" max="3848" width="12.33203125" style="251" customWidth="1"/>
    <col min="3849" max="4096" width="9.109375" style="251"/>
    <col min="4097" max="4097" width="3.33203125" style="251" bestFit="1" customWidth="1"/>
    <col min="4098" max="4098" width="3.33203125" style="251" customWidth="1"/>
    <col min="4099" max="4099" width="30.6640625" style="251" customWidth="1"/>
    <col min="4100" max="4100" width="0" style="251" hidden="1" customWidth="1"/>
    <col min="4101" max="4101" width="41.6640625" style="251" customWidth="1"/>
    <col min="4102" max="4102" width="0" style="251" hidden="1" customWidth="1"/>
    <col min="4103" max="4103" width="10.33203125" style="251" customWidth="1"/>
    <col min="4104" max="4104" width="12.33203125" style="251" customWidth="1"/>
    <col min="4105" max="4352" width="9.109375" style="251"/>
    <col min="4353" max="4353" width="3.33203125" style="251" bestFit="1" customWidth="1"/>
    <col min="4354" max="4354" width="3.33203125" style="251" customWidth="1"/>
    <col min="4355" max="4355" width="30.6640625" style="251" customWidth="1"/>
    <col min="4356" max="4356" width="0" style="251" hidden="1" customWidth="1"/>
    <col min="4357" max="4357" width="41.6640625" style="251" customWidth="1"/>
    <col min="4358" max="4358" width="0" style="251" hidden="1" customWidth="1"/>
    <col min="4359" max="4359" width="10.33203125" style="251" customWidth="1"/>
    <col min="4360" max="4360" width="12.33203125" style="251" customWidth="1"/>
    <col min="4361" max="4608" width="9.109375" style="251"/>
    <col min="4609" max="4609" width="3.33203125" style="251" bestFit="1" customWidth="1"/>
    <col min="4610" max="4610" width="3.33203125" style="251" customWidth="1"/>
    <col min="4611" max="4611" width="30.6640625" style="251" customWidth="1"/>
    <col min="4612" max="4612" width="0" style="251" hidden="1" customWidth="1"/>
    <col min="4613" max="4613" width="41.6640625" style="251" customWidth="1"/>
    <col min="4614" max="4614" width="0" style="251" hidden="1" customWidth="1"/>
    <col min="4615" max="4615" width="10.33203125" style="251" customWidth="1"/>
    <col min="4616" max="4616" width="12.33203125" style="251" customWidth="1"/>
    <col min="4617" max="4864" width="9.109375" style="251"/>
    <col min="4865" max="4865" width="3.33203125" style="251" bestFit="1" customWidth="1"/>
    <col min="4866" max="4866" width="3.33203125" style="251" customWidth="1"/>
    <col min="4867" max="4867" width="30.6640625" style="251" customWidth="1"/>
    <col min="4868" max="4868" width="0" style="251" hidden="1" customWidth="1"/>
    <col min="4869" max="4869" width="41.6640625" style="251" customWidth="1"/>
    <col min="4870" max="4870" width="0" style="251" hidden="1" customWidth="1"/>
    <col min="4871" max="4871" width="10.33203125" style="251" customWidth="1"/>
    <col min="4872" max="4872" width="12.33203125" style="251" customWidth="1"/>
    <col min="4873" max="5120" width="9.109375" style="251"/>
    <col min="5121" max="5121" width="3.33203125" style="251" bestFit="1" customWidth="1"/>
    <col min="5122" max="5122" width="3.33203125" style="251" customWidth="1"/>
    <col min="5123" max="5123" width="30.6640625" style="251" customWidth="1"/>
    <col min="5124" max="5124" width="0" style="251" hidden="1" customWidth="1"/>
    <col min="5125" max="5125" width="41.6640625" style="251" customWidth="1"/>
    <col min="5126" max="5126" width="0" style="251" hidden="1" customWidth="1"/>
    <col min="5127" max="5127" width="10.33203125" style="251" customWidth="1"/>
    <col min="5128" max="5128" width="12.33203125" style="251" customWidth="1"/>
    <col min="5129" max="5376" width="9.109375" style="251"/>
    <col min="5377" max="5377" width="3.33203125" style="251" bestFit="1" customWidth="1"/>
    <col min="5378" max="5378" width="3.33203125" style="251" customWidth="1"/>
    <col min="5379" max="5379" width="30.6640625" style="251" customWidth="1"/>
    <col min="5380" max="5380" width="0" style="251" hidden="1" customWidth="1"/>
    <col min="5381" max="5381" width="41.6640625" style="251" customWidth="1"/>
    <col min="5382" max="5382" width="0" style="251" hidden="1" customWidth="1"/>
    <col min="5383" max="5383" width="10.33203125" style="251" customWidth="1"/>
    <col min="5384" max="5384" width="12.33203125" style="251" customWidth="1"/>
    <col min="5385" max="5632" width="9.109375" style="251"/>
    <col min="5633" max="5633" width="3.33203125" style="251" bestFit="1" customWidth="1"/>
    <col min="5634" max="5634" width="3.33203125" style="251" customWidth="1"/>
    <col min="5635" max="5635" width="30.6640625" style="251" customWidth="1"/>
    <col min="5636" max="5636" width="0" style="251" hidden="1" customWidth="1"/>
    <col min="5637" max="5637" width="41.6640625" style="251" customWidth="1"/>
    <col min="5638" max="5638" width="0" style="251" hidden="1" customWidth="1"/>
    <col min="5639" max="5639" width="10.33203125" style="251" customWidth="1"/>
    <col min="5640" max="5640" width="12.33203125" style="251" customWidth="1"/>
    <col min="5641" max="5888" width="9.109375" style="251"/>
    <col min="5889" max="5889" width="3.33203125" style="251" bestFit="1" customWidth="1"/>
    <col min="5890" max="5890" width="3.33203125" style="251" customWidth="1"/>
    <col min="5891" max="5891" width="30.6640625" style="251" customWidth="1"/>
    <col min="5892" max="5892" width="0" style="251" hidden="1" customWidth="1"/>
    <col min="5893" max="5893" width="41.6640625" style="251" customWidth="1"/>
    <col min="5894" max="5894" width="0" style="251" hidden="1" customWidth="1"/>
    <col min="5895" max="5895" width="10.33203125" style="251" customWidth="1"/>
    <col min="5896" max="5896" width="12.33203125" style="251" customWidth="1"/>
    <col min="5897" max="6144" width="9.109375" style="251"/>
    <col min="6145" max="6145" width="3.33203125" style="251" bestFit="1" customWidth="1"/>
    <col min="6146" max="6146" width="3.33203125" style="251" customWidth="1"/>
    <col min="6147" max="6147" width="30.6640625" style="251" customWidth="1"/>
    <col min="6148" max="6148" width="0" style="251" hidden="1" customWidth="1"/>
    <col min="6149" max="6149" width="41.6640625" style="251" customWidth="1"/>
    <col min="6150" max="6150" width="0" style="251" hidden="1" customWidth="1"/>
    <col min="6151" max="6151" width="10.33203125" style="251" customWidth="1"/>
    <col min="6152" max="6152" width="12.33203125" style="251" customWidth="1"/>
    <col min="6153" max="6400" width="9.109375" style="251"/>
    <col min="6401" max="6401" width="3.33203125" style="251" bestFit="1" customWidth="1"/>
    <col min="6402" max="6402" width="3.33203125" style="251" customWidth="1"/>
    <col min="6403" max="6403" width="30.6640625" style="251" customWidth="1"/>
    <col min="6404" max="6404" width="0" style="251" hidden="1" customWidth="1"/>
    <col min="6405" max="6405" width="41.6640625" style="251" customWidth="1"/>
    <col min="6406" max="6406" width="0" style="251" hidden="1" customWidth="1"/>
    <col min="6407" max="6407" width="10.33203125" style="251" customWidth="1"/>
    <col min="6408" max="6408" width="12.33203125" style="251" customWidth="1"/>
    <col min="6409" max="6656" width="9.109375" style="251"/>
    <col min="6657" max="6657" width="3.33203125" style="251" bestFit="1" customWidth="1"/>
    <col min="6658" max="6658" width="3.33203125" style="251" customWidth="1"/>
    <col min="6659" max="6659" width="30.6640625" style="251" customWidth="1"/>
    <col min="6660" max="6660" width="0" style="251" hidden="1" customWidth="1"/>
    <col min="6661" max="6661" width="41.6640625" style="251" customWidth="1"/>
    <col min="6662" max="6662" width="0" style="251" hidden="1" customWidth="1"/>
    <col min="6663" max="6663" width="10.33203125" style="251" customWidth="1"/>
    <col min="6664" max="6664" width="12.33203125" style="251" customWidth="1"/>
    <col min="6665" max="6912" width="9.109375" style="251"/>
    <col min="6913" max="6913" width="3.33203125" style="251" bestFit="1" customWidth="1"/>
    <col min="6914" max="6914" width="3.33203125" style="251" customWidth="1"/>
    <col min="6915" max="6915" width="30.6640625" style="251" customWidth="1"/>
    <col min="6916" max="6916" width="0" style="251" hidden="1" customWidth="1"/>
    <col min="6917" max="6917" width="41.6640625" style="251" customWidth="1"/>
    <col min="6918" max="6918" width="0" style="251" hidden="1" customWidth="1"/>
    <col min="6919" max="6919" width="10.33203125" style="251" customWidth="1"/>
    <col min="6920" max="6920" width="12.33203125" style="251" customWidth="1"/>
    <col min="6921" max="7168" width="9.109375" style="251"/>
    <col min="7169" max="7169" width="3.33203125" style="251" bestFit="1" customWidth="1"/>
    <col min="7170" max="7170" width="3.33203125" style="251" customWidth="1"/>
    <col min="7171" max="7171" width="30.6640625" style="251" customWidth="1"/>
    <col min="7172" max="7172" width="0" style="251" hidden="1" customWidth="1"/>
    <col min="7173" max="7173" width="41.6640625" style="251" customWidth="1"/>
    <col min="7174" max="7174" width="0" style="251" hidden="1" customWidth="1"/>
    <col min="7175" max="7175" width="10.33203125" style="251" customWidth="1"/>
    <col min="7176" max="7176" width="12.33203125" style="251" customWidth="1"/>
    <col min="7177" max="7424" width="9.109375" style="251"/>
    <col min="7425" max="7425" width="3.33203125" style="251" bestFit="1" customWidth="1"/>
    <col min="7426" max="7426" width="3.33203125" style="251" customWidth="1"/>
    <col min="7427" max="7427" width="30.6640625" style="251" customWidth="1"/>
    <col min="7428" max="7428" width="0" style="251" hidden="1" customWidth="1"/>
    <col min="7429" max="7429" width="41.6640625" style="251" customWidth="1"/>
    <col min="7430" max="7430" width="0" style="251" hidden="1" customWidth="1"/>
    <col min="7431" max="7431" width="10.33203125" style="251" customWidth="1"/>
    <col min="7432" max="7432" width="12.33203125" style="251" customWidth="1"/>
    <col min="7433" max="7680" width="9.109375" style="251"/>
    <col min="7681" max="7681" width="3.33203125" style="251" bestFit="1" customWidth="1"/>
    <col min="7682" max="7682" width="3.33203125" style="251" customWidth="1"/>
    <col min="7683" max="7683" width="30.6640625" style="251" customWidth="1"/>
    <col min="7684" max="7684" width="0" style="251" hidden="1" customWidth="1"/>
    <col min="7685" max="7685" width="41.6640625" style="251" customWidth="1"/>
    <col min="7686" max="7686" width="0" style="251" hidden="1" customWidth="1"/>
    <col min="7687" max="7687" width="10.33203125" style="251" customWidth="1"/>
    <col min="7688" max="7688" width="12.33203125" style="251" customWidth="1"/>
    <col min="7689" max="7936" width="9.109375" style="251"/>
    <col min="7937" max="7937" width="3.33203125" style="251" bestFit="1" customWidth="1"/>
    <col min="7938" max="7938" width="3.33203125" style="251" customWidth="1"/>
    <col min="7939" max="7939" width="30.6640625" style="251" customWidth="1"/>
    <col min="7940" max="7940" width="0" style="251" hidden="1" customWidth="1"/>
    <col min="7941" max="7941" width="41.6640625" style="251" customWidth="1"/>
    <col min="7942" max="7942" width="0" style="251" hidden="1" customWidth="1"/>
    <col min="7943" max="7943" width="10.33203125" style="251" customWidth="1"/>
    <col min="7944" max="7944" width="12.33203125" style="251" customWidth="1"/>
    <col min="7945" max="8192" width="9.109375" style="251"/>
    <col min="8193" max="8193" width="3.33203125" style="251" bestFit="1" customWidth="1"/>
    <col min="8194" max="8194" width="3.33203125" style="251" customWidth="1"/>
    <col min="8195" max="8195" width="30.6640625" style="251" customWidth="1"/>
    <col min="8196" max="8196" width="0" style="251" hidden="1" customWidth="1"/>
    <col min="8197" max="8197" width="41.6640625" style="251" customWidth="1"/>
    <col min="8198" max="8198" width="0" style="251" hidden="1" customWidth="1"/>
    <col min="8199" max="8199" width="10.33203125" style="251" customWidth="1"/>
    <col min="8200" max="8200" width="12.33203125" style="251" customWidth="1"/>
    <col min="8201" max="8448" width="9.109375" style="251"/>
    <col min="8449" max="8449" width="3.33203125" style="251" bestFit="1" customWidth="1"/>
    <col min="8450" max="8450" width="3.33203125" style="251" customWidth="1"/>
    <col min="8451" max="8451" width="30.6640625" style="251" customWidth="1"/>
    <col min="8452" max="8452" width="0" style="251" hidden="1" customWidth="1"/>
    <col min="8453" max="8453" width="41.6640625" style="251" customWidth="1"/>
    <col min="8454" max="8454" width="0" style="251" hidden="1" customWidth="1"/>
    <col min="8455" max="8455" width="10.33203125" style="251" customWidth="1"/>
    <col min="8456" max="8456" width="12.33203125" style="251" customWidth="1"/>
    <col min="8457" max="8704" width="9.109375" style="251"/>
    <col min="8705" max="8705" width="3.33203125" style="251" bestFit="1" customWidth="1"/>
    <col min="8706" max="8706" width="3.33203125" style="251" customWidth="1"/>
    <col min="8707" max="8707" width="30.6640625" style="251" customWidth="1"/>
    <col min="8708" max="8708" width="0" style="251" hidden="1" customWidth="1"/>
    <col min="8709" max="8709" width="41.6640625" style="251" customWidth="1"/>
    <col min="8710" max="8710" width="0" style="251" hidden="1" customWidth="1"/>
    <col min="8711" max="8711" width="10.33203125" style="251" customWidth="1"/>
    <col min="8712" max="8712" width="12.33203125" style="251" customWidth="1"/>
    <col min="8713" max="8960" width="9.109375" style="251"/>
    <col min="8961" max="8961" width="3.33203125" style="251" bestFit="1" customWidth="1"/>
    <col min="8962" max="8962" width="3.33203125" style="251" customWidth="1"/>
    <col min="8963" max="8963" width="30.6640625" style="251" customWidth="1"/>
    <col min="8964" max="8964" width="0" style="251" hidden="1" customWidth="1"/>
    <col min="8965" max="8965" width="41.6640625" style="251" customWidth="1"/>
    <col min="8966" max="8966" width="0" style="251" hidden="1" customWidth="1"/>
    <col min="8967" max="8967" width="10.33203125" style="251" customWidth="1"/>
    <col min="8968" max="8968" width="12.33203125" style="251" customWidth="1"/>
    <col min="8969" max="9216" width="9.109375" style="251"/>
    <col min="9217" max="9217" width="3.33203125" style="251" bestFit="1" customWidth="1"/>
    <col min="9218" max="9218" width="3.33203125" style="251" customWidth="1"/>
    <col min="9219" max="9219" width="30.6640625" style="251" customWidth="1"/>
    <col min="9220" max="9220" width="0" style="251" hidden="1" customWidth="1"/>
    <col min="9221" max="9221" width="41.6640625" style="251" customWidth="1"/>
    <col min="9222" max="9222" width="0" style="251" hidden="1" customWidth="1"/>
    <col min="9223" max="9223" width="10.33203125" style="251" customWidth="1"/>
    <col min="9224" max="9224" width="12.33203125" style="251" customWidth="1"/>
    <col min="9225" max="9472" width="9.109375" style="251"/>
    <col min="9473" max="9473" width="3.33203125" style="251" bestFit="1" customWidth="1"/>
    <col min="9474" max="9474" width="3.33203125" style="251" customWidth="1"/>
    <col min="9475" max="9475" width="30.6640625" style="251" customWidth="1"/>
    <col min="9476" max="9476" width="0" style="251" hidden="1" customWidth="1"/>
    <col min="9477" max="9477" width="41.6640625" style="251" customWidth="1"/>
    <col min="9478" max="9478" width="0" style="251" hidden="1" customWidth="1"/>
    <col min="9479" max="9479" width="10.33203125" style="251" customWidth="1"/>
    <col min="9480" max="9480" width="12.33203125" style="251" customWidth="1"/>
    <col min="9481" max="9728" width="9.109375" style="251"/>
    <col min="9729" max="9729" width="3.33203125" style="251" bestFit="1" customWidth="1"/>
    <col min="9730" max="9730" width="3.33203125" style="251" customWidth="1"/>
    <col min="9731" max="9731" width="30.6640625" style="251" customWidth="1"/>
    <col min="9732" max="9732" width="0" style="251" hidden="1" customWidth="1"/>
    <col min="9733" max="9733" width="41.6640625" style="251" customWidth="1"/>
    <col min="9734" max="9734" width="0" style="251" hidden="1" customWidth="1"/>
    <col min="9735" max="9735" width="10.33203125" style="251" customWidth="1"/>
    <col min="9736" max="9736" width="12.33203125" style="251" customWidth="1"/>
    <col min="9737" max="9984" width="9.109375" style="251"/>
    <col min="9985" max="9985" width="3.33203125" style="251" bestFit="1" customWidth="1"/>
    <col min="9986" max="9986" width="3.33203125" style="251" customWidth="1"/>
    <col min="9987" max="9987" width="30.6640625" style="251" customWidth="1"/>
    <col min="9988" max="9988" width="0" style="251" hidden="1" customWidth="1"/>
    <col min="9989" max="9989" width="41.6640625" style="251" customWidth="1"/>
    <col min="9990" max="9990" width="0" style="251" hidden="1" customWidth="1"/>
    <col min="9991" max="9991" width="10.33203125" style="251" customWidth="1"/>
    <col min="9992" max="9992" width="12.33203125" style="251" customWidth="1"/>
    <col min="9993" max="10240" width="9.109375" style="251"/>
    <col min="10241" max="10241" width="3.33203125" style="251" bestFit="1" customWidth="1"/>
    <col min="10242" max="10242" width="3.33203125" style="251" customWidth="1"/>
    <col min="10243" max="10243" width="30.6640625" style="251" customWidth="1"/>
    <col min="10244" max="10244" width="0" style="251" hidden="1" customWidth="1"/>
    <col min="10245" max="10245" width="41.6640625" style="251" customWidth="1"/>
    <col min="10246" max="10246" width="0" style="251" hidden="1" customWidth="1"/>
    <col min="10247" max="10247" width="10.33203125" style="251" customWidth="1"/>
    <col min="10248" max="10248" width="12.33203125" style="251" customWidth="1"/>
    <col min="10249" max="10496" width="9.109375" style="251"/>
    <col min="10497" max="10497" width="3.33203125" style="251" bestFit="1" customWidth="1"/>
    <col min="10498" max="10498" width="3.33203125" style="251" customWidth="1"/>
    <col min="10499" max="10499" width="30.6640625" style="251" customWidth="1"/>
    <col min="10500" max="10500" width="0" style="251" hidden="1" customWidth="1"/>
    <col min="10501" max="10501" width="41.6640625" style="251" customWidth="1"/>
    <col min="10502" max="10502" width="0" style="251" hidden="1" customWidth="1"/>
    <col min="10503" max="10503" width="10.33203125" style="251" customWidth="1"/>
    <col min="10504" max="10504" width="12.33203125" style="251" customWidth="1"/>
    <col min="10505" max="10752" width="9.109375" style="251"/>
    <col min="10753" max="10753" width="3.33203125" style="251" bestFit="1" customWidth="1"/>
    <col min="10754" max="10754" width="3.33203125" style="251" customWidth="1"/>
    <col min="10755" max="10755" width="30.6640625" style="251" customWidth="1"/>
    <col min="10756" max="10756" width="0" style="251" hidden="1" customWidth="1"/>
    <col min="10757" max="10757" width="41.6640625" style="251" customWidth="1"/>
    <col min="10758" max="10758" width="0" style="251" hidden="1" customWidth="1"/>
    <col min="10759" max="10759" width="10.33203125" style="251" customWidth="1"/>
    <col min="10760" max="10760" width="12.33203125" style="251" customWidth="1"/>
    <col min="10761" max="11008" width="9.109375" style="251"/>
    <col min="11009" max="11009" width="3.33203125" style="251" bestFit="1" customWidth="1"/>
    <col min="11010" max="11010" width="3.33203125" style="251" customWidth="1"/>
    <col min="11011" max="11011" width="30.6640625" style="251" customWidth="1"/>
    <col min="11012" max="11012" width="0" style="251" hidden="1" customWidth="1"/>
    <col min="11013" max="11013" width="41.6640625" style="251" customWidth="1"/>
    <col min="11014" max="11014" width="0" style="251" hidden="1" customWidth="1"/>
    <col min="11015" max="11015" width="10.33203125" style="251" customWidth="1"/>
    <col min="11016" max="11016" width="12.33203125" style="251" customWidth="1"/>
    <col min="11017" max="11264" width="9.109375" style="251"/>
    <col min="11265" max="11265" width="3.33203125" style="251" bestFit="1" customWidth="1"/>
    <col min="11266" max="11266" width="3.33203125" style="251" customWidth="1"/>
    <col min="11267" max="11267" width="30.6640625" style="251" customWidth="1"/>
    <col min="11268" max="11268" width="0" style="251" hidden="1" customWidth="1"/>
    <col min="11269" max="11269" width="41.6640625" style="251" customWidth="1"/>
    <col min="11270" max="11270" width="0" style="251" hidden="1" customWidth="1"/>
    <col min="11271" max="11271" width="10.33203125" style="251" customWidth="1"/>
    <col min="11272" max="11272" width="12.33203125" style="251" customWidth="1"/>
    <col min="11273" max="11520" width="9.109375" style="251"/>
    <col min="11521" max="11521" width="3.33203125" style="251" bestFit="1" customWidth="1"/>
    <col min="11522" max="11522" width="3.33203125" style="251" customWidth="1"/>
    <col min="11523" max="11523" width="30.6640625" style="251" customWidth="1"/>
    <col min="11524" max="11524" width="0" style="251" hidden="1" customWidth="1"/>
    <col min="11525" max="11525" width="41.6640625" style="251" customWidth="1"/>
    <col min="11526" max="11526" width="0" style="251" hidden="1" customWidth="1"/>
    <col min="11527" max="11527" width="10.33203125" style="251" customWidth="1"/>
    <col min="11528" max="11528" width="12.33203125" style="251" customWidth="1"/>
    <col min="11529" max="11776" width="9.109375" style="251"/>
    <col min="11777" max="11777" width="3.33203125" style="251" bestFit="1" customWidth="1"/>
    <col min="11778" max="11778" width="3.33203125" style="251" customWidth="1"/>
    <col min="11779" max="11779" width="30.6640625" style="251" customWidth="1"/>
    <col min="11780" max="11780" width="0" style="251" hidden="1" customWidth="1"/>
    <col min="11781" max="11781" width="41.6640625" style="251" customWidth="1"/>
    <col min="11782" max="11782" width="0" style="251" hidden="1" customWidth="1"/>
    <col min="11783" max="11783" width="10.33203125" style="251" customWidth="1"/>
    <col min="11784" max="11784" width="12.33203125" style="251" customWidth="1"/>
    <col min="11785" max="12032" width="9.109375" style="251"/>
    <col min="12033" max="12033" width="3.33203125" style="251" bestFit="1" customWidth="1"/>
    <col min="12034" max="12034" width="3.33203125" style="251" customWidth="1"/>
    <col min="12035" max="12035" width="30.6640625" style="251" customWidth="1"/>
    <col min="12036" max="12036" width="0" style="251" hidden="1" customWidth="1"/>
    <col min="12037" max="12037" width="41.6640625" style="251" customWidth="1"/>
    <col min="12038" max="12038" width="0" style="251" hidden="1" customWidth="1"/>
    <col min="12039" max="12039" width="10.33203125" style="251" customWidth="1"/>
    <col min="12040" max="12040" width="12.33203125" style="251" customWidth="1"/>
    <col min="12041" max="12288" width="9.109375" style="251"/>
    <col min="12289" max="12289" width="3.33203125" style="251" bestFit="1" customWidth="1"/>
    <col min="12290" max="12290" width="3.33203125" style="251" customWidth="1"/>
    <col min="12291" max="12291" width="30.6640625" style="251" customWidth="1"/>
    <col min="12292" max="12292" width="0" style="251" hidden="1" customWidth="1"/>
    <col min="12293" max="12293" width="41.6640625" style="251" customWidth="1"/>
    <col min="12294" max="12294" width="0" style="251" hidden="1" customWidth="1"/>
    <col min="12295" max="12295" width="10.33203125" style="251" customWidth="1"/>
    <col min="12296" max="12296" width="12.33203125" style="251" customWidth="1"/>
    <col min="12297" max="12544" width="9.109375" style="251"/>
    <col min="12545" max="12545" width="3.33203125" style="251" bestFit="1" customWidth="1"/>
    <col min="12546" max="12546" width="3.33203125" style="251" customWidth="1"/>
    <col min="12547" max="12547" width="30.6640625" style="251" customWidth="1"/>
    <col min="12548" max="12548" width="0" style="251" hidden="1" customWidth="1"/>
    <col min="12549" max="12549" width="41.6640625" style="251" customWidth="1"/>
    <col min="12550" max="12550" width="0" style="251" hidden="1" customWidth="1"/>
    <col min="12551" max="12551" width="10.33203125" style="251" customWidth="1"/>
    <col min="12552" max="12552" width="12.33203125" style="251" customWidth="1"/>
    <col min="12553" max="12800" width="9.109375" style="251"/>
    <col min="12801" max="12801" width="3.33203125" style="251" bestFit="1" customWidth="1"/>
    <col min="12802" max="12802" width="3.33203125" style="251" customWidth="1"/>
    <col min="12803" max="12803" width="30.6640625" style="251" customWidth="1"/>
    <col min="12804" max="12804" width="0" style="251" hidden="1" customWidth="1"/>
    <col min="12805" max="12805" width="41.6640625" style="251" customWidth="1"/>
    <col min="12806" max="12806" width="0" style="251" hidden="1" customWidth="1"/>
    <col min="12807" max="12807" width="10.33203125" style="251" customWidth="1"/>
    <col min="12808" max="12808" width="12.33203125" style="251" customWidth="1"/>
    <col min="12809" max="13056" width="9.109375" style="251"/>
    <col min="13057" max="13057" width="3.33203125" style="251" bestFit="1" customWidth="1"/>
    <col min="13058" max="13058" width="3.33203125" style="251" customWidth="1"/>
    <col min="13059" max="13059" width="30.6640625" style="251" customWidth="1"/>
    <col min="13060" max="13060" width="0" style="251" hidden="1" customWidth="1"/>
    <col min="13061" max="13061" width="41.6640625" style="251" customWidth="1"/>
    <col min="13062" max="13062" width="0" style="251" hidden="1" customWidth="1"/>
    <col min="13063" max="13063" width="10.33203125" style="251" customWidth="1"/>
    <col min="13064" max="13064" width="12.33203125" style="251" customWidth="1"/>
    <col min="13065" max="13312" width="9.109375" style="251"/>
    <col min="13313" max="13313" width="3.33203125" style="251" bestFit="1" customWidth="1"/>
    <col min="13314" max="13314" width="3.33203125" style="251" customWidth="1"/>
    <col min="13315" max="13315" width="30.6640625" style="251" customWidth="1"/>
    <col min="13316" max="13316" width="0" style="251" hidden="1" customWidth="1"/>
    <col min="13317" max="13317" width="41.6640625" style="251" customWidth="1"/>
    <col min="13318" max="13318" width="0" style="251" hidden="1" customWidth="1"/>
    <col min="13319" max="13319" width="10.33203125" style="251" customWidth="1"/>
    <col min="13320" max="13320" width="12.33203125" style="251" customWidth="1"/>
    <col min="13321" max="13568" width="9.109375" style="251"/>
    <col min="13569" max="13569" width="3.33203125" style="251" bestFit="1" customWidth="1"/>
    <col min="13570" max="13570" width="3.33203125" style="251" customWidth="1"/>
    <col min="13571" max="13571" width="30.6640625" style="251" customWidth="1"/>
    <col min="13572" max="13572" width="0" style="251" hidden="1" customWidth="1"/>
    <col min="13573" max="13573" width="41.6640625" style="251" customWidth="1"/>
    <col min="13574" max="13574" width="0" style="251" hidden="1" customWidth="1"/>
    <col min="13575" max="13575" width="10.33203125" style="251" customWidth="1"/>
    <col min="13576" max="13576" width="12.33203125" style="251" customWidth="1"/>
    <col min="13577" max="13824" width="9.109375" style="251"/>
    <col min="13825" max="13825" width="3.33203125" style="251" bestFit="1" customWidth="1"/>
    <col min="13826" max="13826" width="3.33203125" style="251" customWidth="1"/>
    <col min="13827" max="13827" width="30.6640625" style="251" customWidth="1"/>
    <col min="13828" max="13828" width="0" style="251" hidden="1" customWidth="1"/>
    <col min="13829" max="13829" width="41.6640625" style="251" customWidth="1"/>
    <col min="13830" max="13830" width="0" style="251" hidden="1" customWidth="1"/>
    <col min="13831" max="13831" width="10.33203125" style="251" customWidth="1"/>
    <col min="13832" max="13832" width="12.33203125" style="251" customWidth="1"/>
    <col min="13833" max="14080" width="9.109375" style="251"/>
    <col min="14081" max="14081" width="3.33203125" style="251" bestFit="1" customWidth="1"/>
    <col min="14082" max="14082" width="3.33203125" style="251" customWidth="1"/>
    <col min="14083" max="14083" width="30.6640625" style="251" customWidth="1"/>
    <col min="14084" max="14084" width="0" style="251" hidden="1" customWidth="1"/>
    <col min="14085" max="14085" width="41.6640625" style="251" customWidth="1"/>
    <col min="14086" max="14086" width="0" style="251" hidden="1" customWidth="1"/>
    <col min="14087" max="14087" width="10.33203125" style="251" customWidth="1"/>
    <col min="14088" max="14088" width="12.33203125" style="251" customWidth="1"/>
    <col min="14089" max="14336" width="9.109375" style="251"/>
    <col min="14337" max="14337" width="3.33203125" style="251" bestFit="1" customWidth="1"/>
    <col min="14338" max="14338" width="3.33203125" style="251" customWidth="1"/>
    <col min="14339" max="14339" width="30.6640625" style="251" customWidth="1"/>
    <col min="14340" max="14340" width="0" style="251" hidden="1" customWidth="1"/>
    <col min="14341" max="14341" width="41.6640625" style="251" customWidth="1"/>
    <col min="14342" max="14342" width="0" style="251" hidden="1" customWidth="1"/>
    <col min="14343" max="14343" width="10.33203125" style="251" customWidth="1"/>
    <col min="14344" max="14344" width="12.33203125" style="251" customWidth="1"/>
    <col min="14345" max="14592" width="9.109375" style="251"/>
    <col min="14593" max="14593" width="3.33203125" style="251" bestFit="1" customWidth="1"/>
    <col min="14594" max="14594" width="3.33203125" style="251" customWidth="1"/>
    <col min="14595" max="14595" width="30.6640625" style="251" customWidth="1"/>
    <col min="14596" max="14596" width="0" style="251" hidden="1" customWidth="1"/>
    <col min="14597" max="14597" width="41.6640625" style="251" customWidth="1"/>
    <col min="14598" max="14598" width="0" style="251" hidden="1" customWidth="1"/>
    <col min="14599" max="14599" width="10.33203125" style="251" customWidth="1"/>
    <col min="14600" max="14600" width="12.33203125" style="251" customWidth="1"/>
    <col min="14601" max="14848" width="9.109375" style="251"/>
    <col min="14849" max="14849" width="3.33203125" style="251" bestFit="1" customWidth="1"/>
    <col min="14850" max="14850" width="3.33203125" style="251" customWidth="1"/>
    <col min="14851" max="14851" width="30.6640625" style="251" customWidth="1"/>
    <col min="14852" max="14852" width="0" style="251" hidden="1" customWidth="1"/>
    <col min="14853" max="14853" width="41.6640625" style="251" customWidth="1"/>
    <col min="14854" max="14854" width="0" style="251" hidden="1" customWidth="1"/>
    <col min="14855" max="14855" width="10.33203125" style="251" customWidth="1"/>
    <col min="14856" max="14856" width="12.33203125" style="251" customWidth="1"/>
    <col min="14857" max="15104" width="9.109375" style="251"/>
    <col min="15105" max="15105" width="3.33203125" style="251" bestFit="1" customWidth="1"/>
    <col min="15106" max="15106" width="3.33203125" style="251" customWidth="1"/>
    <col min="15107" max="15107" width="30.6640625" style="251" customWidth="1"/>
    <col min="15108" max="15108" width="0" style="251" hidden="1" customWidth="1"/>
    <col min="15109" max="15109" width="41.6640625" style="251" customWidth="1"/>
    <col min="15110" max="15110" width="0" style="251" hidden="1" customWidth="1"/>
    <col min="15111" max="15111" width="10.33203125" style="251" customWidth="1"/>
    <col min="15112" max="15112" width="12.33203125" style="251" customWidth="1"/>
    <col min="15113" max="15360" width="9.109375" style="251"/>
    <col min="15361" max="15361" width="3.33203125" style="251" bestFit="1" customWidth="1"/>
    <col min="15362" max="15362" width="3.33203125" style="251" customWidth="1"/>
    <col min="15363" max="15363" width="30.6640625" style="251" customWidth="1"/>
    <col min="15364" max="15364" width="0" style="251" hidden="1" customWidth="1"/>
    <col min="15365" max="15365" width="41.6640625" style="251" customWidth="1"/>
    <col min="15366" max="15366" width="0" style="251" hidden="1" customWidth="1"/>
    <col min="15367" max="15367" width="10.33203125" style="251" customWidth="1"/>
    <col min="15368" max="15368" width="12.33203125" style="251" customWidth="1"/>
    <col min="15369" max="15616" width="9.109375" style="251"/>
    <col min="15617" max="15617" width="3.33203125" style="251" bestFit="1" customWidth="1"/>
    <col min="15618" max="15618" width="3.33203125" style="251" customWidth="1"/>
    <col min="15619" max="15619" width="30.6640625" style="251" customWidth="1"/>
    <col min="15620" max="15620" width="0" style="251" hidden="1" customWidth="1"/>
    <col min="15621" max="15621" width="41.6640625" style="251" customWidth="1"/>
    <col min="15622" max="15622" width="0" style="251" hidden="1" customWidth="1"/>
    <col min="15623" max="15623" width="10.33203125" style="251" customWidth="1"/>
    <col min="15624" max="15624" width="12.33203125" style="251" customWidth="1"/>
    <col min="15625" max="15872" width="9.109375" style="251"/>
    <col min="15873" max="15873" width="3.33203125" style="251" bestFit="1" customWidth="1"/>
    <col min="15874" max="15874" width="3.33203125" style="251" customWidth="1"/>
    <col min="15875" max="15875" width="30.6640625" style="251" customWidth="1"/>
    <col min="15876" max="15876" width="0" style="251" hidden="1" customWidth="1"/>
    <col min="15877" max="15877" width="41.6640625" style="251" customWidth="1"/>
    <col min="15878" max="15878" width="0" style="251" hidden="1" customWidth="1"/>
    <col min="15879" max="15879" width="10.33203125" style="251" customWidth="1"/>
    <col min="15880" max="15880" width="12.33203125" style="251" customWidth="1"/>
    <col min="15881" max="16128" width="9.109375" style="251"/>
    <col min="16129" max="16129" width="3.33203125" style="251" bestFit="1" customWidth="1"/>
    <col min="16130" max="16130" width="3.33203125" style="251" customWidth="1"/>
    <col min="16131" max="16131" width="30.6640625" style="251" customWidth="1"/>
    <col min="16132" max="16132" width="0" style="251" hidden="1" customWidth="1"/>
    <col min="16133" max="16133" width="41.6640625" style="251" customWidth="1"/>
    <col min="16134" max="16134" width="0" style="251" hidden="1" customWidth="1"/>
    <col min="16135" max="16135" width="10.33203125" style="251" customWidth="1"/>
    <col min="16136" max="16136" width="12.33203125" style="251" customWidth="1"/>
    <col min="16137" max="16384" width="9.109375" style="251"/>
  </cols>
  <sheetData>
    <row r="1" spans="1:11" ht="12.75" customHeight="1">
      <c r="A1" s="1056" t="s">
        <v>1697</v>
      </c>
      <c r="B1" s="1056"/>
      <c r="C1" s="1056"/>
      <c r="D1" s="1056"/>
      <c r="E1" s="1056"/>
      <c r="F1" s="1056"/>
      <c r="G1" s="1056"/>
      <c r="H1" s="1056"/>
    </row>
    <row r="2" spans="1:11" ht="12.75" customHeight="1">
      <c r="A2" s="1056" t="s">
        <v>1698</v>
      </c>
      <c r="B2" s="1056"/>
      <c r="C2" s="1056"/>
      <c r="D2" s="1056"/>
      <c r="E2" s="1056"/>
      <c r="F2" s="1056"/>
      <c r="G2" s="1056"/>
      <c r="H2" s="1056"/>
    </row>
    <row r="3" spans="1:11" ht="12.9" customHeight="1" thickBot="1"/>
    <row r="4" spans="1:11" ht="15" customHeight="1" thickBot="1">
      <c r="A4" s="270"/>
      <c r="B4" s="271"/>
      <c r="C4" s="302" t="s">
        <v>1576</v>
      </c>
      <c r="D4" s="303"/>
      <c r="E4" s="304" t="s">
        <v>1577</v>
      </c>
      <c r="F4" s="303" t="s">
        <v>1128</v>
      </c>
      <c r="G4" s="304" t="s">
        <v>1128</v>
      </c>
      <c r="H4" s="305" t="s">
        <v>1256</v>
      </c>
      <c r="I4" s="272"/>
      <c r="J4" s="272"/>
      <c r="K4" s="272"/>
    </row>
    <row r="5" spans="1:11" ht="12.9" customHeight="1" thickBot="1">
      <c r="A5" s="1036" t="s">
        <v>1699</v>
      </c>
      <c r="B5" s="1037"/>
      <c r="C5" s="1037"/>
      <c r="D5" s="1037"/>
      <c r="E5" s="1037"/>
      <c r="F5" s="1037"/>
      <c r="G5" s="1037"/>
      <c r="H5" s="1038"/>
      <c r="I5" s="272"/>
      <c r="J5" s="272"/>
      <c r="K5" s="272"/>
    </row>
    <row r="6" spans="1:11" ht="12.9" customHeight="1" thickTop="1">
      <c r="A6" s="1057" t="s">
        <v>1578</v>
      </c>
      <c r="B6" s="1058" t="s">
        <v>1579</v>
      </c>
      <c r="C6" s="273" t="s">
        <v>1580</v>
      </c>
      <c r="D6" s="273" t="s">
        <v>1700</v>
      </c>
      <c r="E6" s="273" t="s">
        <v>1701</v>
      </c>
      <c r="F6" s="274">
        <v>52990.68</v>
      </c>
      <c r="G6" s="274">
        <f>F6/1000</f>
        <v>52.990679999999998</v>
      </c>
      <c r="H6" s="275" t="s">
        <v>1259</v>
      </c>
      <c r="I6" s="276"/>
      <c r="J6" s="276"/>
      <c r="K6" s="276"/>
    </row>
    <row r="7" spans="1:11" ht="12.9" customHeight="1">
      <c r="A7" s="1049"/>
      <c r="B7" s="1059"/>
      <c r="C7" s="1045" t="s">
        <v>1582</v>
      </c>
      <c r="D7" s="277" t="s">
        <v>1700</v>
      </c>
      <c r="E7" s="277" t="s">
        <v>1701</v>
      </c>
      <c r="F7" s="278">
        <v>73924</v>
      </c>
      <c r="G7" s="278">
        <f t="shared" ref="G7:G70" si="0">F7/1000</f>
        <v>73.924000000000007</v>
      </c>
      <c r="H7" s="279" t="s">
        <v>1259</v>
      </c>
    </row>
    <row r="8" spans="1:11" ht="26.1" customHeight="1">
      <c r="A8" s="1049"/>
      <c r="B8" s="1059"/>
      <c r="C8" s="1045"/>
      <c r="D8" s="277" t="s">
        <v>1702</v>
      </c>
      <c r="E8" s="277" t="s">
        <v>1703</v>
      </c>
      <c r="F8" s="278">
        <v>6443650</v>
      </c>
      <c r="G8" s="278">
        <f t="shared" si="0"/>
        <v>6443.65</v>
      </c>
      <c r="H8" s="279" t="s">
        <v>1259</v>
      </c>
    </row>
    <row r="9" spans="1:11" ht="26.1" customHeight="1">
      <c r="A9" s="1049"/>
      <c r="B9" s="1059"/>
      <c r="C9" s="277" t="s">
        <v>1584</v>
      </c>
      <c r="D9" s="277" t="s">
        <v>1704</v>
      </c>
      <c r="E9" s="277" t="s">
        <v>1705</v>
      </c>
      <c r="F9" s="278">
        <v>17952</v>
      </c>
      <c r="G9" s="278">
        <f t="shared" si="0"/>
        <v>17.952000000000002</v>
      </c>
      <c r="H9" s="279" t="s">
        <v>1706</v>
      </c>
    </row>
    <row r="10" spans="1:11" ht="12.9" customHeight="1">
      <c r="A10" s="1049"/>
      <c r="B10" s="1059"/>
      <c r="C10" s="1045" t="s">
        <v>1585</v>
      </c>
      <c r="D10" s="277" t="s">
        <v>1707</v>
      </c>
      <c r="E10" s="277" t="s">
        <v>1527</v>
      </c>
      <c r="F10" s="278">
        <v>2210877.92</v>
      </c>
      <c r="G10" s="278">
        <f t="shared" si="0"/>
        <v>2210.8779199999999</v>
      </c>
      <c r="H10" s="279" t="s">
        <v>1706</v>
      </c>
    </row>
    <row r="11" spans="1:11" ht="12.9" customHeight="1">
      <c r="A11" s="1049"/>
      <c r="B11" s="1059"/>
      <c r="C11" s="1045"/>
      <c r="D11" s="277" t="s">
        <v>1704</v>
      </c>
      <c r="E11" s="277" t="s">
        <v>1705</v>
      </c>
      <c r="F11" s="278">
        <v>31722</v>
      </c>
      <c r="G11" s="278">
        <f t="shared" si="0"/>
        <v>31.722000000000001</v>
      </c>
      <c r="H11" s="279" t="s">
        <v>1706</v>
      </c>
    </row>
    <row r="12" spans="1:11" ht="12.9" customHeight="1">
      <c r="A12" s="1049"/>
      <c r="B12" s="1059"/>
      <c r="C12" s="1045"/>
      <c r="D12" s="277" t="s">
        <v>1708</v>
      </c>
      <c r="E12" s="277" t="s">
        <v>1709</v>
      </c>
      <c r="F12" s="278">
        <v>33945</v>
      </c>
      <c r="G12" s="278">
        <f t="shared" si="0"/>
        <v>33.945</v>
      </c>
      <c r="H12" s="279" t="s">
        <v>1706</v>
      </c>
    </row>
    <row r="13" spans="1:11" ht="26.1" customHeight="1">
      <c r="A13" s="1049"/>
      <c r="B13" s="1059"/>
      <c r="C13" s="277" t="s">
        <v>1710</v>
      </c>
      <c r="D13" s="277" t="s">
        <v>1704</v>
      </c>
      <c r="E13" s="277" t="s">
        <v>1705</v>
      </c>
      <c r="F13" s="278">
        <v>8874</v>
      </c>
      <c r="G13" s="278">
        <f t="shared" si="0"/>
        <v>8.8740000000000006</v>
      </c>
      <c r="H13" s="279" t="s">
        <v>1706</v>
      </c>
    </row>
    <row r="14" spans="1:11" ht="39" customHeight="1">
      <c r="A14" s="1049"/>
      <c r="B14" s="1059"/>
      <c r="C14" s="277" t="s">
        <v>1587</v>
      </c>
      <c r="D14" s="277" t="s">
        <v>1704</v>
      </c>
      <c r="E14" s="277" t="s">
        <v>1705</v>
      </c>
      <c r="F14" s="278">
        <v>17034</v>
      </c>
      <c r="G14" s="278">
        <f t="shared" si="0"/>
        <v>17.033999999999999</v>
      </c>
      <c r="H14" s="279" t="s">
        <v>1706</v>
      </c>
    </row>
    <row r="15" spans="1:11" ht="12.9" customHeight="1">
      <c r="A15" s="1049"/>
      <c r="B15" s="1059"/>
      <c r="C15" s="1045" t="s">
        <v>1588</v>
      </c>
      <c r="D15" s="277" t="s">
        <v>1707</v>
      </c>
      <c r="E15" s="277" t="s">
        <v>1527</v>
      </c>
      <c r="F15" s="278">
        <v>1905563.13</v>
      </c>
      <c r="G15" s="278">
        <f t="shared" si="0"/>
        <v>1905.56313</v>
      </c>
      <c r="H15" s="279" t="s">
        <v>1706</v>
      </c>
    </row>
    <row r="16" spans="1:11" ht="12.9" customHeight="1">
      <c r="A16" s="1049"/>
      <c r="B16" s="1059"/>
      <c r="C16" s="1045"/>
      <c r="D16" s="277" t="s">
        <v>1711</v>
      </c>
      <c r="E16" s="277" t="s">
        <v>1712</v>
      </c>
      <c r="F16" s="278">
        <v>1235000</v>
      </c>
      <c r="G16" s="278">
        <f t="shared" si="0"/>
        <v>1235</v>
      </c>
      <c r="H16" s="279" t="s">
        <v>1706</v>
      </c>
    </row>
    <row r="17" spans="1:8" ht="12.9" customHeight="1">
      <c r="A17" s="1049"/>
      <c r="B17" s="1059"/>
      <c r="C17" s="1045"/>
      <c r="D17" s="277" t="s">
        <v>1713</v>
      </c>
      <c r="E17" s="277" t="s">
        <v>1714</v>
      </c>
      <c r="F17" s="278">
        <v>10000</v>
      </c>
      <c r="G17" s="278">
        <f t="shared" si="0"/>
        <v>10</v>
      </c>
      <c r="H17" s="279" t="s">
        <v>1706</v>
      </c>
    </row>
    <row r="18" spans="1:8" ht="26.1" customHeight="1">
      <c r="A18" s="1049"/>
      <c r="B18" s="1059"/>
      <c r="C18" s="1045"/>
      <c r="D18" s="277" t="s">
        <v>1715</v>
      </c>
      <c r="E18" s="277" t="s">
        <v>1716</v>
      </c>
      <c r="F18" s="278">
        <v>15000</v>
      </c>
      <c r="G18" s="278">
        <f t="shared" si="0"/>
        <v>15</v>
      </c>
      <c r="H18" s="279" t="s">
        <v>1706</v>
      </c>
    </row>
    <row r="19" spans="1:8" ht="26.1" customHeight="1">
      <c r="A19" s="1049"/>
      <c r="B19" s="1060"/>
      <c r="C19" s="1045"/>
      <c r="D19" s="277" t="s">
        <v>1717</v>
      </c>
      <c r="E19" s="277" t="s">
        <v>1718</v>
      </c>
      <c r="F19" s="278">
        <v>192481</v>
      </c>
      <c r="G19" s="278">
        <f t="shared" si="0"/>
        <v>192.48099999999999</v>
      </c>
      <c r="H19" s="279" t="s">
        <v>1706</v>
      </c>
    </row>
    <row r="20" spans="1:8" ht="26.1" customHeight="1">
      <c r="A20" s="1049"/>
      <c r="B20" s="1043" t="s">
        <v>1591</v>
      </c>
      <c r="C20" s="280" t="s">
        <v>1592</v>
      </c>
      <c r="D20" s="280" t="s">
        <v>1719</v>
      </c>
      <c r="E20" s="280" t="s">
        <v>1701</v>
      </c>
      <c r="F20" s="281">
        <v>29775</v>
      </c>
      <c r="G20" s="281">
        <f t="shared" si="0"/>
        <v>29.774999999999999</v>
      </c>
      <c r="H20" s="282" t="s">
        <v>1259</v>
      </c>
    </row>
    <row r="21" spans="1:8" ht="39" customHeight="1">
      <c r="A21" s="1049"/>
      <c r="B21" s="1047"/>
      <c r="C21" s="277" t="s">
        <v>1597</v>
      </c>
      <c r="D21" s="277" t="s">
        <v>1704</v>
      </c>
      <c r="E21" s="277" t="s">
        <v>1705</v>
      </c>
      <c r="F21" s="278">
        <v>25398</v>
      </c>
      <c r="G21" s="278">
        <f t="shared" si="0"/>
        <v>25.398</v>
      </c>
      <c r="H21" s="279" t="s">
        <v>1706</v>
      </c>
    </row>
    <row r="22" spans="1:8" ht="12.9" customHeight="1">
      <c r="A22" s="1049"/>
      <c r="B22" s="1047"/>
      <c r="C22" s="1045" t="s">
        <v>1598</v>
      </c>
      <c r="D22" s="277" t="s">
        <v>1707</v>
      </c>
      <c r="E22" s="277" t="s">
        <v>1527</v>
      </c>
      <c r="F22" s="278">
        <v>2200635</v>
      </c>
      <c r="G22" s="278">
        <f t="shared" si="0"/>
        <v>2200.6350000000002</v>
      </c>
      <c r="H22" s="279" t="s">
        <v>1706</v>
      </c>
    </row>
    <row r="23" spans="1:8" ht="12.9" customHeight="1">
      <c r="A23" s="1049"/>
      <c r="B23" s="1047"/>
      <c r="C23" s="1045"/>
      <c r="D23" s="277" t="s">
        <v>1704</v>
      </c>
      <c r="E23" s="277" t="s">
        <v>1705</v>
      </c>
      <c r="F23" s="278">
        <v>10506</v>
      </c>
      <c r="G23" s="278">
        <f t="shared" si="0"/>
        <v>10.506</v>
      </c>
      <c r="H23" s="279" t="s">
        <v>1706</v>
      </c>
    </row>
    <row r="24" spans="1:8" ht="12.9" customHeight="1">
      <c r="A24" s="1049"/>
      <c r="B24" s="1047"/>
      <c r="C24" s="1045" t="s">
        <v>1720</v>
      </c>
      <c r="D24" s="277" t="s">
        <v>1711</v>
      </c>
      <c r="E24" s="277" t="s">
        <v>1712</v>
      </c>
      <c r="F24" s="278">
        <v>544000</v>
      </c>
      <c r="G24" s="278">
        <f t="shared" si="0"/>
        <v>544</v>
      </c>
      <c r="H24" s="279" t="s">
        <v>1706</v>
      </c>
    </row>
    <row r="25" spans="1:8" ht="12.9" customHeight="1">
      <c r="A25" s="1049"/>
      <c r="B25" s="1047"/>
      <c r="C25" s="1045"/>
      <c r="D25" s="277" t="s">
        <v>1704</v>
      </c>
      <c r="E25" s="277" t="s">
        <v>1705</v>
      </c>
      <c r="F25" s="278">
        <v>7854</v>
      </c>
      <c r="G25" s="278">
        <f t="shared" si="0"/>
        <v>7.8540000000000001</v>
      </c>
      <c r="H25" s="279" t="s">
        <v>1706</v>
      </c>
    </row>
    <row r="26" spans="1:8" ht="12.9" customHeight="1">
      <c r="A26" s="1049"/>
      <c r="B26" s="1047"/>
      <c r="C26" s="1045" t="s">
        <v>1600</v>
      </c>
      <c r="D26" s="277" t="s">
        <v>1707</v>
      </c>
      <c r="E26" s="277" t="s">
        <v>1527</v>
      </c>
      <c r="F26" s="278">
        <v>1117903.5</v>
      </c>
      <c r="G26" s="278">
        <f t="shared" si="0"/>
        <v>1117.9034999999999</v>
      </c>
      <c r="H26" s="279" t="s">
        <v>1706</v>
      </c>
    </row>
    <row r="27" spans="1:8" ht="12.9" customHeight="1">
      <c r="A27" s="1049"/>
      <c r="B27" s="1047"/>
      <c r="C27" s="1045"/>
      <c r="D27" s="277" t="s">
        <v>1711</v>
      </c>
      <c r="E27" s="277" t="s">
        <v>1712</v>
      </c>
      <c r="F27" s="278">
        <v>442000</v>
      </c>
      <c r="G27" s="278">
        <f t="shared" si="0"/>
        <v>442</v>
      </c>
      <c r="H27" s="279" t="s">
        <v>1706</v>
      </c>
    </row>
    <row r="28" spans="1:8" ht="12.9" customHeight="1">
      <c r="A28" s="1049"/>
      <c r="B28" s="1047"/>
      <c r="C28" s="1045"/>
      <c r="D28" s="277" t="s">
        <v>1704</v>
      </c>
      <c r="E28" s="277" t="s">
        <v>1705</v>
      </c>
      <c r="F28" s="278">
        <v>16524</v>
      </c>
      <c r="G28" s="278">
        <f t="shared" si="0"/>
        <v>16.524000000000001</v>
      </c>
      <c r="H28" s="279" t="s">
        <v>1706</v>
      </c>
    </row>
    <row r="29" spans="1:8" ht="26.1" customHeight="1">
      <c r="A29" s="1049"/>
      <c r="B29" s="1047"/>
      <c r="C29" s="277" t="s">
        <v>1721</v>
      </c>
      <c r="D29" s="277" t="s">
        <v>1704</v>
      </c>
      <c r="E29" s="277" t="s">
        <v>1705</v>
      </c>
      <c r="F29" s="278">
        <v>12444</v>
      </c>
      <c r="G29" s="278">
        <f t="shared" si="0"/>
        <v>12.444000000000001</v>
      </c>
      <c r="H29" s="279" t="s">
        <v>1706</v>
      </c>
    </row>
    <row r="30" spans="1:8" ht="12.9" customHeight="1">
      <c r="A30" s="1049"/>
      <c r="B30" s="1047"/>
      <c r="C30" s="1045" t="s">
        <v>1722</v>
      </c>
      <c r="D30" s="277" t="s">
        <v>1707</v>
      </c>
      <c r="E30" s="277" t="s">
        <v>1527</v>
      </c>
      <c r="F30" s="278">
        <v>224748.7</v>
      </c>
      <c r="G30" s="278">
        <f t="shared" si="0"/>
        <v>224.74870000000001</v>
      </c>
      <c r="H30" s="279" t="s">
        <v>1706</v>
      </c>
    </row>
    <row r="31" spans="1:8" ht="12.9" customHeight="1">
      <c r="A31" s="1049"/>
      <c r="B31" s="1047"/>
      <c r="C31" s="1045"/>
      <c r="D31" s="277" t="s">
        <v>1704</v>
      </c>
      <c r="E31" s="277" t="s">
        <v>1705</v>
      </c>
      <c r="F31" s="278">
        <v>9894</v>
      </c>
      <c r="G31" s="278">
        <f t="shared" si="0"/>
        <v>9.8940000000000001</v>
      </c>
      <c r="H31" s="279" t="s">
        <v>1706</v>
      </c>
    </row>
    <row r="32" spans="1:8" ht="12.9" customHeight="1">
      <c r="A32" s="1049"/>
      <c r="B32" s="1047"/>
      <c r="C32" s="1045" t="s">
        <v>1603</v>
      </c>
      <c r="D32" s="277" t="s">
        <v>1707</v>
      </c>
      <c r="E32" s="277" t="s">
        <v>1527</v>
      </c>
      <c r="F32" s="278">
        <v>1237334.79</v>
      </c>
      <c r="G32" s="278">
        <f t="shared" si="0"/>
        <v>1237.3347900000001</v>
      </c>
      <c r="H32" s="279" t="s">
        <v>1706</v>
      </c>
    </row>
    <row r="33" spans="1:8" ht="12.9" customHeight="1">
      <c r="A33" s="1049"/>
      <c r="B33" s="1047"/>
      <c r="C33" s="1045"/>
      <c r="D33" s="277" t="s">
        <v>1711</v>
      </c>
      <c r="E33" s="277" t="s">
        <v>1712</v>
      </c>
      <c r="F33" s="278">
        <v>272000</v>
      </c>
      <c r="G33" s="278">
        <f t="shared" si="0"/>
        <v>272</v>
      </c>
      <c r="H33" s="279" t="s">
        <v>1706</v>
      </c>
    </row>
    <row r="34" spans="1:8" ht="12.9" customHeight="1">
      <c r="A34" s="1049"/>
      <c r="B34" s="1047"/>
      <c r="C34" s="1045"/>
      <c r="D34" s="277" t="s">
        <v>1704</v>
      </c>
      <c r="E34" s="277" t="s">
        <v>1705</v>
      </c>
      <c r="F34" s="278">
        <v>20094</v>
      </c>
      <c r="G34" s="278">
        <f t="shared" si="0"/>
        <v>20.094000000000001</v>
      </c>
      <c r="H34" s="279" t="s">
        <v>1706</v>
      </c>
    </row>
    <row r="35" spans="1:8" ht="26.1" customHeight="1">
      <c r="A35" s="1049"/>
      <c r="B35" s="1047"/>
      <c r="C35" s="277" t="s">
        <v>1604</v>
      </c>
      <c r="D35" s="277" t="s">
        <v>1704</v>
      </c>
      <c r="E35" s="277" t="s">
        <v>1705</v>
      </c>
      <c r="F35" s="278">
        <v>4896</v>
      </c>
      <c r="G35" s="278">
        <f t="shared" si="0"/>
        <v>4.8959999999999999</v>
      </c>
      <c r="H35" s="279" t="s">
        <v>1706</v>
      </c>
    </row>
    <row r="36" spans="1:8" ht="39" customHeight="1">
      <c r="A36" s="1049"/>
      <c r="B36" s="1047"/>
      <c r="C36" s="277" t="s">
        <v>1605</v>
      </c>
      <c r="D36" s="277" t="s">
        <v>1704</v>
      </c>
      <c r="E36" s="277" t="s">
        <v>1705</v>
      </c>
      <c r="F36" s="278">
        <v>14484</v>
      </c>
      <c r="G36" s="278">
        <f t="shared" si="0"/>
        <v>14.484</v>
      </c>
      <c r="H36" s="279" t="s">
        <v>1706</v>
      </c>
    </row>
    <row r="37" spans="1:8" ht="12.9" customHeight="1">
      <c r="A37" s="1049"/>
      <c r="B37" s="1047"/>
      <c r="C37" s="1045" t="s">
        <v>1723</v>
      </c>
      <c r="D37" s="277" t="s">
        <v>1711</v>
      </c>
      <c r="E37" s="277" t="s">
        <v>1712</v>
      </c>
      <c r="F37" s="278">
        <v>680000</v>
      </c>
      <c r="G37" s="278">
        <f t="shared" si="0"/>
        <v>680</v>
      </c>
      <c r="H37" s="279" t="s">
        <v>1706</v>
      </c>
    </row>
    <row r="38" spans="1:8" ht="26.1" customHeight="1">
      <c r="A38" s="1049"/>
      <c r="B38" s="1047"/>
      <c r="C38" s="1045"/>
      <c r="D38" s="277" t="s">
        <v>1717</v>
      </c>
      <c r="E38" s="277" t="s">
        <v>1718</v>
      </c>
      <c r="F38" s="278">
        <v>207207</v>
      </c>
      <c r="G38" s="278">
        <f t="shared" si="0"/>
        <v>207.20699999999999</v>
      </c>
      <c r="H38" s="279" t="s">
        <v>1706</v>
      </c>
    </row>
    <row r="39" spans="1:8" ht="12.9" customHeight="1">
      <c r="A39" s="1049"/>
      <c r="B39" s="1047"/>
      <c r="C39" s="1046" t="s">
        <v>1610</v>
      </c>
      <c r="D39" s="277" t="s">
        <v>1711</v>
      </c>
      <c r="E39" s="277" t="s">
        <v>1712</v>
      </c>
      <c r="F39" s="278">
        <v>1002000</v>
      </c>
      <c r="G39" s="278">
        <f t="shared" si="0"/>
        <v>1002</v>
      </c>
      <c r="H39" s="279" t="s">
        <v>1706</v>
      </c>
    </row>
    <row r="40" spans="1:8" ht="12.9" customHeight="1">
      <c r="A40" s="1049"/>
      <c r="B40" s="1047"/>
      <c r="C40" s="1054"/>
      <c r="D40" s="277" t="s">
        <v>1713</v>
      </c>
      <c r="E40" s="277" t="s">
        <v>1714</v>
      </c>
      <c r="F40" s="278">
        <v>1000</v>
      </c>
      <c r="G40" s="278">
        <f t="shared" si="0"/>
        <v>1</v>
      </c>
      <c r="H40" s="279" t="s">
        <v>1706</v>
      </c>
    </row>
    <row r="41" spans="1:8" ht="26.1" customHeight="1">
      <c r="A41" s="1049"/>
      <c r="B41" s="1047"/>
      <c r="C41" s="1055"/>
      <c r="D41" s="277" t="s">
        <v>1715</v>
      </c>
      <c r="E41" s="277" t="s">
        <v>1716</v>
      </c>
      <c r="F41" s="278">
        <v>21000</v>
      </c>
      <c r="G41" s="278">
        <f t="shared" si="0"/>
        <v>21</v>
      </c>
      <c r="H41" s="279" t="s">
        <v>1706</v>
      </c>
    </row>
    <row r="42" spans="1:8" ht="26.1" customHeight="1">
      <c r="A42" s="1049"/>
      <c r="B42" s="1039"/>
      <c r="C42" s="277" t="s">
        <v>1611</v>
      </c>
      <c r="D42" s="277" t="s">
        <v>1711</v>
      </c>
      <c r="E42" s="277" t="s">
        <v>1712</v>
      </c>
      <c r="F42" s="278">
        <v>258000</v>
      </c>
      <c r="G42" s="278">
        <f t="shared" si="0"/>
        <v>258</v>
      </c>
      <c r="H42" s="279" t="s">
        <v>1706</v>
      </c>
    </row>
    <row r="43" spans="1:8" ht="12.9" customHeight="1">
      <c r="A43" s="1049"/>
      <c r="B43" s="1043" t="s">
        <v>1724</v>
      </c>
      <c r="C43" s="277" t="s">
        <v>1615</v>
      </c>
      <c r="D43" s="277" t="s">
        <v>1700</v>
      </c>
      <c r="E43" s="277" t="s">
        <v>1701</v>
      </c>
      <c r="F43" s="278">
        <v>34086</v>
      </c>
      <c r="G43" s="278">
        <f t="shared" si="0"/>
        <v>34.085999999999999</v>
      </c>
      <c r="H43" s="279" t="s">
        <v>1259</v>
      </c>
    </row>
    <row r="44" spans="1:8" ht="12.9" customHeight="1">
      <c r="A44" s="1049"/>
      <c r="B44" s="1047"/>
      <c r="C44" s="1045" t="s">
        <v>1616</v>
      </c>
      <c r="D44" s="277" t="s">
        <v>1707</v>
      </c>
      <c r="E44" s="277" t="s">
        <v>1527</v>
      </c>
      <c r="F44" s="278">
        <v>1768012.33</v>
      </c>
      <c r="G44" s="278">
        <f t="shared" si="0"/>
        <v>1768.01233</v>
      </c>
      <c r="H44" s="279" t="s">
        <v>1706</v>
      </c>
    </row>
    <row r="45" spans="1:8" ht="12.9" customHeight="1">
      <c r="A45" s="1049"/>
      <c r="B45" s="1047"/>
      <c r="C45" s="1045"/>
      <c r="D45" s="277" t="s">
        <v>1711</v>
      </c>
      <c r="E45" s="277" t="s">
        <v>1712</v>
      </c>
      <c r="F45" s="278">
        <v>408000</v>
      </c>
      <c r="G45" s="278">
        <f t="shared" si="0"/>
        <v>408</v>
      </c>
      <c r="H45" s="279" t="s">
        <v>1706</v>
      </c>
    </row>
    <row r="46" spans="1:8" ht="12.9" customHeight="1">
      <c r="A46" s="1049"/>
      <c r="B46" s="1047"/>
      <c r="C46" s="1045"/>
      <c r="D46" s="277" t="s">
        <v>1704</v>
      </c>
      <c r="E46" s="277" t="s">
        <v>1705</v>
      </c>
      <c r="F46" s="278">
        <v>10098</v>
      </c>
      <c r="G46" s="278">
        <f t="shared" si="0"/>
        <v>10.098000000000001</v>
      </c>
      <c r="H46" s="279" t="s">
        <v>1706</v>
      </c>
    </row>
    <row r="47" spans="1:8" ht="12.9" customHeight="1">
      <c r="A47" s="1049"/>
      <c r="B47" s="1047"/>
      <c r="C47" s="1045" t="s">
        <v>1617</v>
      </c>
      <c r="D47" s="277" t="s">
        <v>1711</v>
      </c>
      <c r="E47" s="277" t="s">
        <v>1712</v>
      </c>
      <c r="F47" s="278">
        <v>408000</v>
      </c>
      <c r="G47" s="278">
        <f t="shared" si="0"/>
        <v>408</v>
      </c>
      <c r="H47" s="279" t="s">
        <v>1706</v>
      </c>
    </row>
    <row r="48" spans="1:8" ht="12.9" customHeight="1">
      <c r="A48" s="1053"/>
      <c r="B48" s="1039"/>
      <c r="C48" s="1045"/>
      <c r="D48" s="277" t="s">
        <v>1704</v>
      </c>
      <c r="E48" s="277" t="s">
        <v>1705</v>
      </c>
      <c r="F48" s="278">
        <v>7548</v>
      </c>
      <c r="G48" s="278">
        <f t="shared" si="0"/>
        <v>7.548</v>
      </c>
      <c r="H48" s="279" t="s">
        <v>1706</v>
      </c>
    </row>
    <row r="49" spans="1:8" ht="12.9" customHeight="1">
      <c r="A49" s="1048" t="s">
        <v>1578</v>
      </c>
      <c r="B49" s="1043" t="s">
        <v>1724</v>
      </c>
      <c r="C49" s="1045" t="s">
        <v>1618</v>
      </c>
      <c r="D49" s="277" t="s">
        <v>1707</v>
      </c>
      <c r="E49" s="277" t="s">
        <v>1527</v>
      </c>
      <c r="F49" s="278">
        <v>462920.64</v>
      </c>
      <c r="G49" s="278">
        <f t="shared" si="0"/>
        <v>462.92063999999999</v>
      </c>
      <c r="H49" s="279" t="s">
        <v>1706</v>
      </c>
    </row>
    <row r="50" spans="1:8" ht="12.9" customHeight="1">
      <c r="A50" s="1049"/>
      <c r="B50" s="1047"/>
      <c r="C50" s="1045"/>
      <c r="D50" s="277" t="s">
        <v>1704</v>
      </c>
      <c r="E50" s="277" t="s">
        <v>1705</v>
      </c>
      <c r="F50" s="278">
        <v>4998</v>
      </c>
      <c r="G50" s="278">
        <f t="shared" si="0"/>
        <v>4.9980000000000002</v>
      </c>
      <c r="H50" s="279" t="s">
        <v>1706</v>
      </c>
    </row>
    <row r="51" spans="1:8" ht="12.9" customHeight="1">
      <c r="A51" s="1049"/>
      <c r="B51" s="1047"/>
      <c r="C51" s="1045" t="s">
        <v>1725</v>
      </c>
      <c r="D51" s="277" t="s">
        <v>1711</v>
      </c>
      <c r="E51" s="277" t="s">
        <v>1712</v>
      </c>
      <c r="F51" s="278">
        <v>764000</v>
      </c>
      <c r="G51" s="278">
        <f t="shared" si="0"/>
        <v>764</v>
      </c>
      <c r="H51" s="279" t="s">
        <v>1706</v>
      </c>
    </row>
    <row r="52" spans="1:8" ht="26.1" customHeight="1">
      <c r="A52" s="1049"/>
      <c r="B52" s="1047"/>
      <c r="C52" s="1045"/>
      <c r="D52" s="277" t="s">
        <v>1715</v>
      </c>
      <c r="E52" s="277" t="s">
        <v>1716</v>
      </c>
      <c r="F52" s="278">
        <v>10000</v>
      </c>
      <c r="G52" s="278">
        <f t="shared" si="0"/>
        <v>10</v>
      </c>
      <c r="H52" s="279" t="s">
        <v>1706</v>
      </c>
    </row>
    <row r="53" spans="1:8" ht="26.1" customHeight="1">
      <c r="A53" s="1049"/>
      <c r="B53" s="1039"/>
      <c r="C53" s="1045"/>
      <c r="D53" s="277" t="s">
        <v>1717</v>
      </c>
      <c r="E53" s="277" t="s">
        <v>1718</v>
      </c>
      <c r="F53" s="278">
        <v>200030</v>
      </c>
      <c r="G53" s="278">
        <f t="shared" si="0"/>
        <v>200.03</v>
      </c>
      <c r="H53" s="279" t="s">
        <v>1706</v>
      </c>
    </row>
    <row r="54" spans="1:8" ht="26.1" customHeight="1">
      <c r="A54" s="1049"/>
      <c r="B54" s="1043" t="s">
        <v>1621</v>
      </c>
      <c r="C54" s="280" t="s">
        <v>1622</v>
      </c>
      <c r="D54" s="280" t="s">
        <v>1700</v>
      </c>
      <c r="E54" s="280" t="s">
        <v>1701</v>
      </c>
      <c r="F54" s="281">
        <v>59064</v>
      </c>
      <c r="G54" s="281">
        <f t="shared" si="0"/>
        <v>59.064</v>
      </c>
      <c r="H54" s="282" t="s">
        <v>1259</v>
      </c>
    </row>
    <row r="55" spans="1:8" ht="12.9" customHeight="1">
      <c r="A55" s="1049"/>
      <c r="B55" s="1047"/>
      <c r="C55" s="1045" t="s">
        <v>1623</v>
      </c>
      <c r="D55" s="277" t="s">
        <v>1704</v>
      </c>
      <c r="E55" s="277" t="s">
        <v>1705</v>
      </c>
      <c r="F55" s="278">
        <v>19176</v>
      </c>
      <c r="G55" s="278">
        <f t="shared" si="0"/>
        <v>19.175999999999998</v>
      </c>
      <c r="H55" s="279" t="s">
        <v>1706</v>
      </c>
    </row>
    <row r="56" spans="1:8" ht="12.9" customHeight="1">
      <c r="A56" s="1049"/>
      <c r="B56" s="1047"/>
      <c r="C56" s="1045"/>
      <c r="D56" s="277" t="s">
        <v>1726</v>
      </c>
      <c r="E56" s="277" t="s">
        <v>1727</v>
      </c>
      <c r="F56" s="278">
        <v>57239</v>
      </c>
      <c r="G56" s="278">
        <f t="shared" si="0"/>
        <v>57.238999999999997</v>
      </c>
      <c r="H56" s="279" t="s">
        <v>1706</v>
      </c>
    </row>
    <row r="57" spans="1:8" ht="12.9" customHeight="1">
      <c r="A57" s="1049"/>
      <c r="B57" s="1047"/>
      <c r="C57" s="1045" t="s">
        <v>1624</v>
      </c>
      <c r="D57" s="277" t="s">
        <v>1707</v>
      </c>
      <c r="E57" s="277" t="s">
        <v>1527</v>
      </c>
      <c r="F57" s="278">
        <v>1502101.06</v>
      </c>
      <c r="G57" s="278">
        <f t="shared" si="0"/>
        <v>1502.10106</v>
      </c>
      <c r="H57" s="279" t="s">
        <v>1706</v>
      </c>
    </row>
    <row r="58" spans="1:8" ht="12.9" customHeight="1">
      <c r="A58" s="1049"/>
      <c r="B58" s="1047"/>
      <c r="C58" s="1045"/>
      <c r="D58" s="277" t="s">
        <v>1704</v>
      </c>
      <c r="E58" s="277" t="s">
        <v>1705</v>
      </c>
      <c r="F58" s="278">
        <v>25398</v>
      </c>
      <c r="G58" s="278">
        <f t="shared" si="0"/>
        <v>25.398</v>
      </c>
      <c r="H58" s="279" t="s">
        <v>1706</v>
      </c>
    </row>
    <row r="59" spans="1:8" ht="26.1" customHeight="1">
      <c r="A59" s="1049"/>
      <c r="B59" s="1047"/>
      <c r="C59" s="277" t="s">
        <v>1625</v>
      </c>
      <c r="D59" s="277" t="s">
        <v>1704</v>
      </c>
      <c r="E59" s="277" t="s">
        <v>1705</v>
      </c>
      <c r="F59" s="278">
        <v>17340</v>
      </c>
      <c r="G59" s="278">
        <f t="shared" si="0"/>
        <v>17.34</v>
      </c>
      <c r="H59" s="279" t="s">
        <v>1706</v>
      </c>
    </row>
    <row r="60" spans="1:8" ht="26.1" customHeight="1">
      <c r="A60" s="1049"/>
      <c r="B60" s="1047"/>
      <c r="C60" s="277" t="s">
        <v>1626</v>
      </c>
      <c r="D60" s="277" t="s">
        <v>1704</v>
      </c>
      <c r="E60" s="277" t="s">
        <v>1705</v>
      </c>
      <c r="F60" s="278">
        <v>27948</v>
      </c>
      <c r="G60" s="278">
        <f t="shared" si="0"/>
        <v>27.948</v>
      </c>
      <c r="H60" s="279" t="s">
        <v>1706</v>
      </c>
    </row>
    <row r="61" spans="1:8" ht="12.9" customHeight="1">
      <c r="A61" s="1049"/>
      <c r="B61" s="1047"/>
      <c r="C61" s="1045" t="s">
        <v>1627</v>
      </c>
      <c r="D61" s="277" t="s">
        <v>1704</v>
      </c>
      <c r="E61" s="277" t="s">
        <v>1705</v>
      </c>
      <c r="F61" s="278">
        <v>4488</v>
      </c>
      <c r="G61" s="278">
        <f t="shared" si="0"/>
        <v>4.4880000000000004</v>
      </c>
      <c r="H61" s="279" t="s">
        <v>1706</v>
      </c>
    </row>
    <row r="62" spans="1:8" ht="12.9" customHeight="1">
      <c r="A62" s="1049"/>
      <c r="B62" s="1047"/>
      <c r="C62" s="1045"/>
      <c r="D62" s="277" t="s">
        <v>1708</v>
      </c>
      <c r="E62" s="277" t="s">
        <v>1709</v>
      </c>
      <c r="F62" s="278">
        <v>15000</v>
      </c>
      <c r="G62" s="278">
        <f t="shared" si="0"/>
        <v>15</v>
      </c>
      <c r="H62" s="279" t="s">
        <v>1706</v>
      </c>
    </row>
    <row r="63" spans="1:8" ht="19.5" customHeight="1">
      <c r="A63" s="1049"/>
      <c r="B63" s="1047"/>
      <c r="C63" s="1045" t="s">
        <v>1628</v>
      </c>
      <c r="D63" s="277" t="s">
        <v>1707</v>
      </c>
      <c r="E63" s="277" t="s">
        <v>1527</v>
      </c>
      <c r="F63" s="278">
        <v>7577869.3899999997</v>
      </c>
      <c r="G63" s="278">
        <f t="shared" si="0"/>
        <v>7577.8693899999998</v>
      </c>
      <c r="H63" s="279" t="s">
        <v>1706</v>
      </c>
    </row>
    <row r="64" spans="1:8" ht="19.5" customHeight="1">
      <c r="A64" s="1049"/>
      <c r="B64" s="1047"/>
      <c r="C64" s="1045"/>
      <c r="D64" s="277" t="s">
        <v>1728</v>
      </c>
      <c r="E64" s="277" t="s">
        <v>1729</v>
      </c>
      <c r="F64" s="278">
        <v>6486894</v>
      </c>
      <c r="G64" s="278">
        <f t="shared" si="0"/>
        <v>6486.8940000000002</v>
      </c>
      <c r="H64" s="279" t="s">
        <v>1706</v>
      </c>
    </row>
    <row r="65" spans="1:8" ht="26.1" customHeight="1">
      <c r="A65" s="1049"/>
      <c r="B65" s="1047"/>
      <c r="C65" s="277" t="s">
        <v>1629</v>
      </c>
      <c r="D65" s="277" t="s">
        <v>1704</v>
      </c>
      <c r="E65" s="277" t="s">
        <v>1705</v>
      </c>
      <c r="F65" s="278">
        <v>23358</v>
      </c>
      <c r="G65" s="278">
        <f t="shared" si="0"/>
        <v>23.358000000000001</v>
      </c>
      <c r="H65" s="279" t="s">
        <v>1706</v>
      </c>
    </row>
    <row r="66" spans="1:8" ht="26.1" customHeight="1">
      <c r="A66" s="1049"/>
      <c r="B66" s="1047"/>
      <c r="C66" s="277" t="s">
        <v>1730</v>
      </c>
      <c r="D66" s="277" t="s">
        <v>1704</v>
      </c>
      <c r="E66" s="277" t="s">
        <v>1705</v>
      </c>
      <c r="F66" s="278">
        <v>30600</v>
      </c>
      <c r="G66" s="278">
        <f t="shared" si="0"/>
        <v>30.6</v>
      </c>
      <c r="H66" s="279" t="s">
        <v>1706</v>
      </c>
    </row>
    <row r="67" spans="1:8" ht="12.9" customHeight="1">
      <c r="A67" s="1049"/>
      <c r="B67" s="1047"/>
      <c r="C67" s="1045" t="s">
        <v>1631</v>
      </c>
      <c r="D67" s="277" t="s">
        <v>1707</v>
      </c>
      <c r="E67" s="277" t="s">
        <v>1527</v>
      </c>
      <c r="F67" s="278">
        <v>1415502.69</v>
      </c>
      <c r="G67" s="278">
        <f t="shared" si="0"/>
        <v>1415.50269</v>
      </c>
      <c r="H67" s="279" t="s">
        <v>1706</v>
      </c>
    </row>
    <row r="68" spans="1:8" ht="12.9" customHeight="1">
      <c r="A68" s="1049"/>
      <c r="B68" s="1047"/>
      <c r="C68" s="1045"/>
      <c r="D68" s="277" t="s">
        <v>1711</v>
      </c>
      <c r="E68" s="277" t="s">
        <v>1712</v>
      </c>
      <c r="F68" s="278">
        <v>544000</v>
      </c>
      <c r="G68" s="278">
        <f t="shared" si="0"/>
        <v>544</v>
      </c>
      <c r="H68" s="279" t="s">
        <v>1706</v>
      </c>
    </row>
    <row r="69" spans="1:8" ht="26.1" customHeight="1">
      <c r="A69" s="1049"/>
      <c r="B69" s="1047"/>
      <c r="C69" s="277" t="s">
        <v>1632</v>
      </c>
      <c r="D69" s="277" t="s">
        <v>1707</v>
      </c>
      <c r="E69" s="277" t="s">
        <v>1527</v>
      </c>
      <c r="F69" s="278">
        <v>4560635.55</v>
      </c>
      <c r="G69" s="278">
        <f t="shared" si="0"/>
        <v>4560.63555</v>
      </c>
      <c r="H69" s="279" t="s">
        <v>1706</v>
      </c>
    </row>
    <row r="70" spans="1:8" ht="39" customHeight="1">
      <c r="A70" s="1049"/>
      <c r="B70" s="1047"/>
      <c r="C70" s="277" t="s">
        <v>1633</v>
      </c>
      <c r="D70" s="277" t="s">
        <v>1711</v>
      </c>
      <c r="E70" s="277" t="s">
        <v>1712</v>
      </c>
      <c r="F70" s="278">
        <v>942000</v>
      </c>
      <c r="G70" s="278">
        <f t="shared" si="0"/>
        <v>942</v>
      </c>
      <c r="H70" s="279" t="s">
        <v>1706</v>
      </c>
    </row>
    <row r="71" spans="1:8" ht="12.9" customHeight="1">
      <c r="A71" s="1049"/>
      <c r="B71" s="1047"/>
      <c r="C71" s="1045" t="s">
        <v>1634</v>
      </c>
      <c r="D71" s="277" t="s">
        <v>1707</v>
      </c>
      <c r="E71" s="277" t="s">
        <v>1527</v>
      </c>
      <c r="F71" s="278">
        <v>1571525.69</v>
      </c>
      <c r="G71" s="278">
        <f t="shared" ref="G71:G134" si="1">F71/1000</f>
        <v>1571.5256899999999</v>
      </c>
      <c r="H71" s="279" t="s">
        <v>1706</v>
      </c>
    </row>
    <row r="72" spans="1:8" ht="12.9" customHeight="1">
      <c r="A72" s="1049"/>
      <c r="B72" s="1047"/>
      <c r="C72" s="1045"/>
      <c r="D72" s="277" t="s">
        <v>1711</v>
      </c>
      <c r="E72" s="277" t="s">
        <v>1712</v>
      </c>
      <c r="F72" s="278">
        <v>408000</v>
      </c>
      <c r="G72" s="278">
        <f t="shared" si="1"/>
        <v>408</v>
      </c>
      <c r="H72" s="279" t="s">
        <v>1706</v>
      </c>
    </row>
    <row r="73" spans="1:8" ht="12.9" customHeight="1">
      <c r="A73" s="1049"/>
      <c r="B73" s="1047"/>
      <c r="C73" s="1045"/>
      <c r="D73" s="277" t="s">
        <v>1704</v>
      </c>
      <c r="E73" s="277" t="s">
        <v>1705</v>
      </c>
      <c r="F73" s="278">
        <v>15912</v>
      </c>
      <c r="G73" s="278">
        <f t="shared" si="1"/>
        <v>15.912000000000001</v>
      </c>
      <c r="H73" s="279" t="s">
        <v>1706</v>
      </c>
    </row>
    <row r="74" spans="1:8" ht="12.9" customHeight="1">
      <c r="A74" s="1049"/>
      <c r="B74" s="1047"/>
      <c r="C74" s="1045" t="s">
        <v>1636</v>
      </c>
      <c r="D74" s="277" t="s">
        <v>1707</v>
      </c>
      <c r="E74" s="277" t="s">
        <v>1527</v>
      </c>
      <c r="F74" s="278">
        <v>4442191.43</v>
      </c>
      <c r="G74" s="278">
        <f t="shared" si="1"/>
        <v>4442.1914299999999</v>
      </c>
      <c r="H74" s="279" t="s">
        <v>1706</v>
      </c>
    </row>
    <row r="75" spans="1:8" ht="12.9" customHeight="1">
      <c r="A75" s="1049"/>
      <c r="B75" s="1047"/>
      <c r="C75" s="1045"/>
      <c r="D75" s="277" t="s">
        <v>1731</v>
      </c>
      <c r="E75" s="277" t="s">
        <v>1732</v>
      </c>
      <c r="F75" s="278">
        <v>1968000</v>
      </c>
      <c r="G75" s="278">
        <f t="shared" si="1"/>
        <v>1968</v>
      </c>
      <c r="H75" s="279" t="s">
        <v>1706</v>
      </c>
    </row>
    <row r="76" spans="1:8" ht="19.5" customHeight="1">
      <c r="A76" s="1049"/>
      <c r="B76" s="1047"/>
      <c r="C76" s="1045" t="s">
        <v>1638</v>
      </c>
      <c r="D76" s="277" t="s">
        <v>1704</v>
      </c>
      <c r="E76" s="277" t="s">
        <v>1705</v>
      </c>
      <c r="F76" s="278">
        <v>22440</v>
      </c>
      <c r="G76" s="278">
        <f t="shared" si="1"/>
        <v>22.44</v>
      </c>
      <c r="H76" s="279" t="s">
        <v>1706</v>
      </c>
    </row>
    <row r="77" spans="1:8" ht="19.5" customHeight="1">
      <c r="A77" s="1049"/>
      <c r="B77" s="1047"/>
      <c r="C77" s="1045"/>
      <c r="D77" s="277" t="s">
        <v>1733</v>
      </c>
      <c r="E77" s="277" t="s">
        <v>1734</v>
      </c>
      <c r="F77" s="278">
        <v>44000</v>
      </c>
      <c r="G77" s="278">
        <f t="shared" si="1"/>
        <v>44</v>
      </c>
      <c r="H77" s="279" t="s">
        <v>1706</v>
      </c>
    </row>
    <row r="78" spans="1:8" ht="26.1" customHeight="1">
      <c r="A78" s="1049"/>
      <c r="B78" s="1047"/>
      <c r="C78" s="277" t="s">
        <v>1639</v>
      </c>
      <c r="D78" s="277" t="s">
        <v>1704</v>
      </c>
      <c r="E78" s="277" t="s">
        <v>1705</v>
      </c>
      <c r="F78" s="278">
        <v>33966</v>
      </c>
      <c r="G78" s="278">
        <f t="shared" si="1"/>
        <v>33.966000000000001</v>
      </c>
      <c r="H78" s="279" t="s">
        <v>1706</v>
      </c>
    </row>
    <row r="79" spans="1:8" ht="12.9" customHeight="1">
      <c r="A79" s="1049"/>
      <c r="B79" s="1047"/>
      <c r="C79" s="1046" t="s">
        <v>1640</v>
      </c>
      <c r="D79" s="277" t="s">
        <v>1707</v>
      </c>
      <c r="E79" s="277" t="s">
        <v>1527</v>
      </c>
      <c r="F79" s="278">
        <v>3688000.09</v>
      </c>
      <c r="G79" s="278">
        <f t="shared" si="1"/>
        <v>3688.00009</v>
      </c>
      <c r="H79" s="279" t="s">
        <v>1706</v>
      </c>
    </row>
    <row r="80" spans="1:8" ht="12.9" customHeight="1">
      <c r="A80" s="1049"/>
      <c r="B80" s="1047"/>
      <c r="C80" s="1054"/>
      <c r="D80" s="277" t="s">
        <v>1711</v>
      </c>
      <c r="E80" s="277" t="s">
        <v>1712</v>
      </c>
      <c r="F80" s="278">
        <v>680000</v>
      </c>
      <c r="G80" s="278">
        <f t="shared" si="1"/>
        <v>680</v>
      </c>
      <c r="H80" s="279" t="s">
        <v>1706</v>
      </c>
    </row>
    <row r="81" spans="1:8" ht="12.9" customHeight="1">
      <c r="A81" s="1049"/>
      <c r="B81" s="1047"/>
      <c r="C81" s="1054"/>
      <c r="D81" s="277" t="s">
        <v>1704</v>
      </c>
      <c r="E81" s="277" t="s">
        <v>1705</v>
      </c>
      <c r="F81" s="278">
        <v>23154</v>
      </c>
      <c r="G81" s="278">
        <f t="shared" si="1"/>
        <v>23.154</v>
      </c>
      <c r="H81" s="279" t="s">
        <v>1706</v>
      </c>
    </row>
    <row r="82" spans="1:8" ht="12.9" customHeight="1">
      <c r="A82" s="1049"/>
      <c r="B82" s="1047"/>
      <c r="C82" s="1055"/>
      <c r="D82" s="277" t="s">
        <v>1735</v>
      </c>
      <c r="E82" s="277" t="s">
        <v>1736</v>
      </c>
      <c r="F82" s="278">
        <v>300000</v>
      </c>
      <c r="G82" s="278">
        <f t="shared" si="1"/>
        <v>300</v>
      </c>
      <c r="H82" s="279" t="s">
        <v>1706</v>
      </c>
    </row>
    <row r="83" spans="1:8" ht="26.1" customHeight="1">
      <c r="A83" s="1049"/>
      <c r="B83" s="1047"/>
      <c r="C83" s="277" t="s">
        <v>1642</v>
      </c>
      <c r="D83" s="277" t="s">
        <v>1704</v>
      </c>
      <c r="E83" s="277" t="s">
        <v>1705</v>
      </c>
      <c r="F83" s="278">
        <v>6324</v>
      </c>
      <c r="G83" s="278">
        <f t="shared" si="1"/>
        <v>6.3239999999999998</v>
      </c>
      <c r="H83" s="279" t="s">
        <v>1706</v>
      </c>
    </row>
    <row r="84" spans="1:8" ht="12.9" customHeight="1">
      <c r="A84" s="1049"/>
      <c r="B84" s="1047"/>
      <c r="C84" s="1045" t="s">
        <v>1643</v>
      </c>
      <c r="D84" s="277" t="s">
        <v>1737</v>
      </c>
      <c r="E84" s="277" t="s">
        <v>1738</v>
      </c>
      <c r="F84" s="278">
        <v>29375.21</v>
      </c>
      <c r="G84" s="278">
        <f t="shared" si="1"/>
        <v>29.375209999999999</v>
      </c>
      <c r="H84" s="279" t="s">
        <v>1264</v>
      </c>
    </row>
    <row r="85" spans="1:8" ht="12.9" customHeight="1">
      <c r="A85" s="1049"/>
      <c r="B85" s="1047"/>
      <c r="C85" s="1045"/>
      <c r="D85" s="277" t="s">
        <v>1707</v>
      </c>
      <c r="E85" s="277" t="s">
        <v>1527</v>
      </c>
      <c r="F85" s="278">
        <v>1135738.56</v>
      </c>
      <c r="G85" s="278">
        <f t="shared" si="1"/>
        <v>1135.73856</v>
      </c>
      <c r="H85" s="279" t="s">
        <v>1706</v>
      </c>
    </row>
    <row r="86" spans="1:8" ht="12.9" customHeight="1">
      <c r="A86" s="1049"/>
      <c r="B86" s="1047"/>
      <c r="C86" s="1045"/>
      <c r="D86" s="277" t="s">
        <v>1711</v>
      </c>
      <c r="E86" s="277" t="s">
        <v>1712</v>
      </c>
      <c r="F86" s="278">
        <v>408000</v>
      </c>
      <c r="G86" s="278">
        <f t="shared" si="1"/>
        <v>408</v>
      </c>
      <c r="H86" s="279" t="s">
        <v>1706</v>
      </c>
    </row>
    <row r="87" spans="1:8" ht="12.9" customHeight="1">
      <c r="A87" s="1049"/>
      <c r="B87" s="1047"/>
      <c r="C87" s="1045"/>
      <c r="D87" s="277" t="s">
        <v>1704</v>
      </c>
      <c r="E87" s="277" t="s">
        <v>1705</v>
      </c>
      <c r="F87" s="278">
        <v>58446</v>
      </c>
      <c r="G87" s="278">
        <f t="shared" si="1"/>
        <v>58.445999999999998</v>
      </c>
      <c r="H87" s="279" t="s">
        <v>1706</v>
      </c>
    </row>
    <row r="88" spans="1:8" ht="12.9" customHeight="1">
      <c r="A88" s="1049"/>
      <c r="B88" s="1047"/>
      <c r="C88" s="1045" t="s">
        <v>1644</v>
      </c>
      <c r="D88" s="277" t="s">
        <v>1707</v>
      </c>
      <c r="E88" s="277" t="s">
        <v>1527</v>
      </c>
      <c r="F88" s="278">
        <v>393031.45</v>
      </c>
      <c r="G88" s="278">
        <f t="shared" si="1"/>
        <v>393.03145000000001</v>
      </c>
      <c r="H88" s="279" t="s">
        <v>1706</v>
      </c>
    </row>
    <row r="89" spans="1:8" ht="12.9" customHeight="1">
      <c r="A89" s="1049"/>
      <c r="B89" s="1047"/>
      <c r="C89" s="1045"/>
      <c r="D89" s="277" t="s">
        <v>1704</v>
      </c>
      <c r="E89" s="277" t="s">
        <v>1705</v>
      </c>
      <c r="F89" s="278">
        <v>18768</v>
      </c>
      <c r="G89" s="278">
        <f t="shared" si="1"/>
        <v>18.768000000000001</v>
      </c>
      <c r="H89" s="279" t="s">
        <v>1706</v>
      </c>
    </row>
    <row r="90" spans="1:8" ht="12.9" customHeight="1">
      <c r="A90" s="1049"/>
      <c r="B90" s="1047"/>
      <c r="C90" s="1045"/>
      <c r="D90" s="277" t="s">
        <v>1739</v>
      </c>
      <c r="E90" s="277" t="s">
        <v>1740</v>
      </c>
      <c r="F90" s="278">
        <v>80000</v>
      </c>
      <c r="G90" s="278">
        <f t="shared" si="1"/>
        <v>80</v>
      </c>
      <c r="H90" s="279" t="s">
        <v>1706</v>
      </c>
    </row>
    <row r="91" spans="1:8" ht="12.9" customHeight="1">
      <c r="A91" s="1049"/>
      <c r="B91" s="1047"/>
      <c r="C91" s="1045" t="s">
        <v>1645</v>
      </c>
      <c r="D91" s="277" t="s">
        <v>1711</v>
      </c>
      <c r="E91" s="277" t="s">
        <v>1712</v>
      </c>
      <c r="F91" s="278">
        <v>2176000</v>
      </c>
      <c r="G91" s="278">
        <f t="shared" si="1"/>
        <v>2176</v>
      </c>
      <c r="H91" s="279" t="s">
        <v>1706</v>
      </c>
    </row>
    <row r="92" spans="1:8" ht="12.9" customHeight="1">
      <c r="A92" s="1049"/>
      <c r="B92" s="1047"/>
      <c r="C92" s="1045"/>
      <c r="D92" s="277" t="s">
        <v>1704</v>
      </c>
      <c r="E92" s="277" t="s">
        <v>1705</v>
      </c>
      <c r="F92" s="278">
        <v>19686</v>
      </c>
      <c r="G92" s="278">
        <f t="shared" si="1"/>
        <v>19.686</v>
      </c>
      <c r="H92" s="279" t="s">
        <v>1706</v>
      </c>
    </row>
    <row r="93" spans="1:8" ht="19.5" customHeight="1">
      <c r="A93" s="1049"/>
      <c r="B93" s="1047"/>
      <c r="C93" s="1045" t="s">
        <v>1646</v>
      </c>
      <c r="D93" s="277" t="s">
        <v>1707</v>
      </c>
      <c r="E93" s="277" t="s">
        <v>1527</v>
      </c>
      <c r="F93" s="278">
        <v>2329456.89</v>
      </c>
      <c r="G93" s="278">
        <f t="shared" si="1"/>
        <v>2329.4568899999999</v>
      </c>
      <c r="H93" s="279" t="s">
        <v>1706</v>
      </c>
    </row>
    <row r="94" spans="1:8" ht="19.5" customHeight="1">
      <c r="A94" s="1049"/>
      <c r="B94" s="1047"/>
      <c r="C94" s="1045"/>
      <c r="D94" s="277" t="s">
        <v>1704</v>
      </c>
      <c r="E94" s="277" t="s">
        <v>1705</v>
      </c>
      <c r="F94" s="278">
        <v>39066</v>
      </c>
      <c r="G94" s="278">
        <f t="shared" si="1"/>
        <v>39.066000000000003</v>
      </c>
      <c r="H94" s="279" t="s">
        <v>1706</v>
      </c>
    </row>
    <row r="95" spans="1:8" ht="12.9" customHeight="1">
      <c r="A95" s="1049"/>
      <c r="B95" s="1047"/>
      <c r="C95" s="1045" t="s">
        <v>1647</v>
      </c>
      <c r="D95" s="277" t="s">
        <v>1707</v>
      </c>
      <c r="E95" s="277" t="s">
        <v>1527</v>
      </c>
      <c r="F95" s="278">
        <v>1690947.73</v>
      </c>
      <c r="G95" s="278">
        <f t="shared" si="1"/>
        <v>1690.9477300000001</v>
      </c>
      <c r="H95" s="279" t="s">
        <v>1706</v>
      </c>
    </row>
    <row r="96" spans="1:8" ht="12.9" customHeight="1">
      <c r="A96" s="1049"/>
      <c r="B96" s="1047"/>
      <c r="C96" s="1045"/>
      <c r="D96" s="277" t="s">
        <v>1711</v>
      </c>
      <c r="E96" s="277" t="s">
        <v>1712</v>
      </c>
      <c r="F96" s="278">
        <v>432000</v>
      </c>
      <c r="G96" s="278">
        <f t="shared" si="1"/>
        <v>432</v>
      </c>
      <c r="H96" s="279" t="s">
        <v>1706</v>
      </c>
    </row>
    <row r="97" spans="1:8" ht="12.9" customHeight="1">
      <c r="A97" s="1053"/>
      <c r="B97" s="1039"/>
      <c r="C97" s="1045"/>
      <c r="D97" s="277" t="s">
        <v>1704</v>
      </c>
      <c r="E97" s="277" t="s">
        <v>1705</v>
      </c>
      <c r="F97" s="278">
        <v>16422</v>
      </c>
      <c r="G97" s="278">
        <f t="shared" si="1"/>
        <v>16.422000000000001</v>
      </c>
      <c r="H97" s="279" t="s">
        <v>1706</v>
      </c>
    </row>
    <row r="98" spans="1:8" ht="12.9" customHeight="1">
      <c r="A98" s="1048" t="s">
        <v>1578</v>
      </c>
      <c r="B98" s="1043" t="s">
        <v>1621</v>
      </c>
      <c r="C98" s="1045" t="s">
        <v>1648</v>
      </c>
      <c r="D98" s="277" t="s">
        <v>1707</v>
      </c>
      <c r="E98" s="277" t="s">
        <v>1527</v>
      </c>
      <c r="F98" s="278">
        <v>381804.42</v>
      </c>
      <c r="G98" s="278">
        <f t="shared" si="1"/>
        <v>381.80441999999999</v>
      </c>
      <c r="H98" s="279" t="s">
        <v>1706</v>
      </c>
    </row>
    <row r="99" spans="1:8" ht="12.9" customHeight="1">
      <c r="A99" s="1049"/>
      <c r="B99" s="1047"/>
      <c r="C99" s="1045"/>
      <c r="D99" s="277" t="s">
        <v>1711</v>
      </c>
      <c r="E99" s="277" t="s">
        <v>1712</v>
      </c>
      <c r="F99" s="278">
        <v>680000</v>
      </c>
      <c r="G99" s="278">
        <f t="shared" si="1"/>
        <v>680</v>
      </c>
      <c r="H99" s="279" t="s">
        <v>1706</v>
      </c>
    </row>
    <row r="100" spans="1:8" ht="12.9" customHeight="1">
      <c r="A100" s="1049"/>
      <c r="B100" s="1047"/>
      <c r="C100" s="1045"/>
      <c r="D100" s="277" t="s">
        <v>1704</v>
      </c>
      <c r="E100" s="277" t="s">
        <v>1705</v>
      </c>
      <c r="F100" s="278">
        <v>36312</v>
      </c>
      <c r="G100" s="278">
        <f t="shared" si="1"/>
        <v>36.311999999999998</v>
      </c>
      <c r="H100" s="279" t="s">
        <v>1706</v>
      </c>
    </row>
    <row r="101" spans="1:8" ht="19.5" customHeight="1">
      <c r="A101" s="1049"/>
      <c r="B101" s="1047"/>
      <c r="C101" s="1045" t="s">
        <v>1654</v>
      </c>
      <c r="D101" s="277" t="s">
        <v>1711</v>
      </c>
      <c r="E101" s="277" t="s">
        <v>1712</v>
      </c>
      <c r="F101" s="278">
        <v>462000</v>
      </c>
      <c r="G101" s="278">
        <f t="shared" si="1"/>
        <v>462</v>
      </c>
      <c r="H101" s="279" t="s">
        <v>1706</v>
      </c>
    </row>
    <row r="102" spans="1:8" ht="19.5" customHeight="1">
      <c r="A102" s="1049"/>
      <c r="B102" s="1047"/>
      <c r="C102" s="1045"/>
      <c r="D102" s="277" t="s">
        <v>1713</v>
      </c>
      <c r="E102" s="277" t="s">
        <v>1714</v>
      </c>
      <c r="F102" s="278">
        <v>6000</v>
      </c>
      <c r="G102" s="278">
        <f t="shared" si="1"/>
        <v>6</v>
      </c>
      <c r="H102" s="279" t="s">
        <v>1706</v>
      </c>
    </row>
    <row r="103" spans="1:8" ht="12.9" customHeight="1">
      <c r="A103" s="1049"/>
      <c r="B103" s="1047"/>
      <c r="C103" s="1045" t="s">
        <v>1655</v>
      </c>
      <c r="D103" s="277" t="s">
        <v>1711</v>
      </c>
      <c r="E103" s="277" t="s">
        <v>1712</v>
      </c>
      <c r="F103" s="278">
        <v>1025000</v>
      </c>
      <c r="G103" s="278">
        <f t="shared" si="1"/>
        <v>1025</v>
      </c>
      <c r="H103" s="279" t="s">
        <v>1706</v>
      </c>
    </row>
    <row r="104" spans="1:8" ht="12.9" customHeight="1">
      <c r="A104" s="1049"/>
      <c r="B104" s="1047"/>
      <c r="C104" s="1045"/>
      <c r="D104" s="277" t="s">
        <v>1713</v>
      </c>
      <c r="E104" s="277" t="s">
        <v>1714</v>
      </c>
      <c r="F104" s="278">
        <v>10000</v>
      </c>
      <c r="G104" s="278">
        <f t="shared" si="1"/>
        <v>10</v>
      </c>
      <c r="H104" s="279" t="s">
        <v>1706</v>
      </c>
    </row>
    <row r="105" spans="1:8" ht="26.1" customHeight="1">
      <c r="A105" s="1049"/>
      <c r="B105" s="1047"/>
      <c r="C105" s="1045"/>
      <c r="D105" s="277" t="s">
        <v>1715</v>
      </c>
      <c r="E105" s="277" t="s">
        <v>1716</v>
      </c>
      <c r="F105" s="278">
        <v>50000</v>
      </c>
      <c r="G105" s="278">
        <f t="shared" si="1"/>
        <v>50</v>
      </c>
      <c r="H105" s="279" t="s">
        <v>1706</v>
      </c>
    </row>
    <row r="106" spans="1:8" ht="12.9" customHeight="1">
      <c r="A106" s="1049"/>
      <c r="B106" s="1047"/>
      <c r="C106" s="1045"/>
      <c r="D106" s="277" t="s">
        <v>1731</v>
      </c>
      <c r="E106" s="277" t="s">
        <v>1732</v>
      </c>
      <c r="F106" s="278">
        <v>120000</v>
      </c>
      <c r="G106" s="278">
        <f t="shared" si="1"/>
        <v>120</v>
      </c>
      <c r="H106" s="279" t="s">
        <v>1706</v>
      </c>
    </row>
    <row r="107" spans="1:8" ht="19.5" customHeight="1">
      <c r="A107" s="1049"/>
      <c r="B107" s="1047"/>
      <c r="C107" s="1045" t="s">
        <v>1656</v>
      </c>
      <c r="D107" s="277" t="s">
        <v>1711</v>
      </c>
      <c r="E107" s="277" t="s">
        <v>1712</v>
      </c>
      <c r="F107" s="278">
        <v>885000</v>
      </c>
      <c r="G107" s="278">
        <f t="shared" si="1"/>
        <v>885</v>
      </c>
      <c r="H107" s="279" t="s">
        <v>1706</v>
      </c>
    </row>
    <row r="108" spans="1:8" ht="19.5" customHeight="1">
      <c r="A108" s="1049"/>
      <c r="B108" s="1047"/>
      <c r="C108" s="1045"/>
      <c r="D108" s="277" t="s">
        <v>1713</v>
      </c>
      <c r="E108" s="277" t="s">
        <v>1714</v>
      </c>
      <c r="F108" s="278">
        <v>23000</v>
      </c>
      <c r="G108" s="278">
        <f t="shared" si="1"/>
        <v>23</v>
      </c>
      <c r="H108" s="279" t="s">
        <v>1706</v>
      </c>
    </row>
    <row r="109" spans="1:8" ht="12.9" customHeight="1">
      <c r="A109" s="1049"/>
      <c r="B109" s="1047"/>
      <c r="C109" s="1045" t="s">
        <v>1657</v>
      </c>
      <c r="D109" s="277" t="s">
        <v>1737</v>
      </c>
      <c r="E109" s="277" t="s">
        <v>1738</v>
      </c>
      <c r="F109" s="278">
        <v>41201.879999999997</v>
      </c>
      <c r="G109" s="278">
        <f t="shared" si="1"/>
        <v>41.201879999999996</v>
      </c>
      <c r="H109" s="279" t="s">
        <v>1264</v>
      </c>
    </row>
    <row r="110" spans="1:8" ht="12.9" customHeight="1">
      <c r="A110" s="1049"/>
      <c r="B110" s="1047"/>
      <c r="C110" s="1045"/>
      <c r="D110" s="277" t="s">
        <v>1711</v>
      </c>
      <c r="E110" s="277" t="s">
        <v>1712</v>
      </c>
      <c r="F110" s="278">
        <v>680000</v>
      </c>
      <c r="G110" s="278">
        <f t="shared" si="1"/>
        <v>680</v>
      </c>
      <c r="H110" s="279" t="s">
        <v>1706</v>
      </c>
    </row>
    <row r="111" spans="1:8" ht="26.1" customHeight="1">
      <c r="A111" s="1049"/>
      <c r="B111" s="1047"/>
      <c r="C111" s="1045"/>
      <c r="D111" s="277" t="s">
        <v>1715</v>
      </c>
      <c r="E111" s="277" t="s">
        <v>1716</v>
      </c>
      <c r="F111" s="278">
        <v>31000</v>
      </c>
      <c r="G111" s="278">
        <f t="shared" si="1"/>
        <v>31</v>
      </c>
      <c r="H111" s="279" t="s">
        <v>1706</v>
      </c>
    </row>
    <row r="112" spans="1:8" ht="12.9" customHeight="1">
      <c r="A112" s="1049"/>
      <c r="B112" s="1047"/>
      <c r="C112" s="1045" t="s">
        <v>1658</v>
      </c>
      <c r="D112" s="277" t="s">
        <v>1711</v>
      </c>
      <c r="E112" s="277" t="s">
        <v>1712</v>
      </c>
      <c r="F112" s="278">
        <v>1178000</v>
      </c>
      <c r="G112" s="278">
        <f t="shared" si="1"/>
        <v>1178</v>
      </c>
      <c r="H112" s="279" t="s">
        <v>1706</v>
      </c>
    </row>
    <row r="113" spans="1:8" ht="12.9" customHeight="1">
      <c r="A113" s="1049"/>
      <c r="B113" s="1047"/>
      <c r="C113" s="1045"/>
      <c r="D113" s="277" t="s">
        <v>1713</v>
      </c>
      <c r="E113" s="277" t="s">
        <v>1714</v>
      </c>
      <c r="F113" s="278">
        <v>1000</v>
      </c>
      <c r="G113" s="278">
        <f t="shared" si="1"/>
        <v>1</v>
      </c>
      <c r="H113" s="279" t="s">
        <v>1706</v>
      </c>
    </row>
    <row r="114" spans="1:8" ht="12.9" customHeight="1">
      <c r="A114" s="1049"/>
      <c r="B114" s="1047"/>
      <c r="C114" s="1045" t="s">
        <v>1659</v>
      </c>
      <c r="D114" s="277" t="s">
        <v>1711</v>
      </c>
      <c r="E114" s="277" t="s">
        <v>1712</v>
      </c>
      <c r="F114" s="278">
        <v>1389000</v>
      </c>
      <c r="G114" s="278">
        <f t="shared" si="1"/>
        <v>1389</v>
      </c>
      <c r="H114" s="279" t="s">
        <v>1706</v>
      </c>
    </row>
    <row r="115" spans="1:8" ht="12.9" customHeight="1">
      <c r="A115" s="1049"/>
      <c r="B115" s="1047"/>
      <c r="C115" s="1045"/>
      <c r="D115" s="277" t="s">
        <v>1713</v>
      </c>
      <c r="E115" s="277" t="s">
        <v>1714</v>
      </c>
      <c r="F115" s="278">
        <v>2000</v>
      </c>
      <c r="G115" s="278">
        <f t="shared" si="1"/>
        <v>2</v>
      </c>
      <c r="H115" s="279" t="s">
        <v>1706</v>
      </c>
    </row>
    <row r="116" spans="1:8" ht="26.1" customHeight="1">
      <c r="A116" s="1049"/>
      <c r="B116" s="1039"/>
      <c r="C116" s="1045"/>
      <c r="D116" s="277" t="s">
        <v>1717</v>
      </c>
      <c r="E116" s="277" t="s">
        <v>1718</v>
      </c>
      <c r="F116" s="278">
        <v>143499</v>
      </c>
      <c r="G116" s="278">
        <f t="shared" si="1"/>
        <v>143.499</v>
      </c>
      <c r="H116" s="279" t="s">
        <v>1706</v>
      </c>
    </row>
    <row r="117" spans="1:8" ht="12.9" customHeight="1">
      <c r="A117" s="1049"/>
      <c r="B117" s="1043" t="s">
        <v>1741</v>
      </c>
      <c r="C117" s="1055" t="s">
        <v>1663</v>
      </c>
      <c r="D117" s="280" t="s">
        <v>1737</v>
      </c>
      <c r="E117" s="280" t="s">
        <v>1738</v>
      </c>
      <c r="F117" s="281">
        <v>22311.09</v>
      </c>
      <c r="G117" s="281">
        <f t="shared" si="1"/>
        <v>22.31109</v>
      </c>
      <c r="H117" s="282" t="s">
        <v>1264</v>
      </c>
    </row>
    <row r="118" spans="1:8" ht="12.9" customHeight="1">
      <c r="A118" s="1049"/>
      <c r="B118" s="1047"/>
      <c r="C118" s="1045"/>
      <c r="D118" s="277" t="s">
        <v>1742</v>
      </c>
      <c r="E118" s="277" t="s">
        <v>1743</v>
      </c>
      <c r="F118" s="278">
        <v>55278.26</v>
      </c>
      <c r="G118" s="278">
        <f t="shared" si="1"/>
        <v>55.278260000000003</v>
      </c>
      <c r="H118" s="279" t="s">
        <v>1264</v>
      </c>
    </row>
    <row r="119" spans="1:8" ht="12.9" customHeight="1">
      <c r="A119" s="1049"/>
      <c r="B119" s="1047"/>
      <c r="C119" s="1045"/>
      <c r="D119" s="277" t="s">
        <v>1707</v>
      </c>
      <c r="E119" s="277" t="s">
        <v>1527</v>
      </c>
      <c r="F119" s="278">
        <v>1047962.29</v>
      </c>
      <c r="G119" s="278">
        <f t="shared" si="1"/>
        <v>1047.9622899999999</v>
      </c>
      <c r="H119" s="279" t="s">
        <v>1706</v>
      </c>
    </row>
    <row r="120" spans="1:8" ht="12.9" customHeight="1">
      <c r="A120" s="1049"/>
      <c r="B120" s="1047"/>
      <c r="C120" s="1045"/>
      <c r="D120" s="277" t="s">
        <v>1704</v>
      </c>
      <c r="E120" s="277" t="s">
        <v>1705</v>
      </c>
      <c r="F120" s="278">
        <v>9384</v>
      </c>
      <c r="G120" s="278">
        <f t="shared" si="1"/>
        <v>9.3840000000000003</v>
      </c>
      <c r="H120" s="279" t="s">
        <v>1706</v>
      </c>
    </row>
    <row r="121" spans="1:8" ht="26.1" customHeight="1">
      <c r="A121" s="1049"/>
      <c r="B121" s="1047"/>
      <c r="C121" s="277" t="s">
        <v>1664</v>
      </c>
      <c r="D121" s="277" t="s">
        <v>1704</v>
      </c>
      <c r="E121" s="277" t="s">
        <v>1705</v>
      </c>
      <c r="F121" s="278">
        <v>8262</v>
      </c>
      <c r="G121" s="278">
        <f t="shared" si="1"/>
        <v>8.2620000000000005</v>
      </c>
      <c r="H121" s="279" t="s">
        <v>1706</v>
      </c>
    </row>
    <row r="122" spans="1:8" ht="26.1" customHeight="1">
      <c r="A122" s="1049"/>
      <c r="B122" s="1047"/>
      <c r="C122" s="1046" t="s">
        <v>1665</v>
      </c>
      <c r="D122" s="277" t="s">
        <v>1707</v>
      </c>
      <c r="E122" s="277" t="s">
        <v>1527</v>
      </c>
      <c r="F122" s="278">
        <v>1110343.1299999999</v>
      </c>
      <c r="G122" s="278">
        <f t="shared" si="1"/>
        <v>1110.34313</v>
      </c>
      <c r="H122" s="279" t="s">
        <v>1706</v>
      </c>
    </row>
    <row r="123" spans="1:8" ht="12.9" customHeight="1">
      <c r="A123" s="1049"/>
      <c r="B123" s="1047"/>
      <c r="C123" s="1054"/>
      <c r="D123" s="277" t="s">
        <v>1711</v>
      </c>
      <c r="E123" s="277" t="s">
        <v>1712</v>
      </c>
      <c r="F123" s="278">
        <v>245000</v>
      </c>
      <c r="G123" s="278">
        <f t="shared" si="1"/>
        <v>245</v>
      </c>
      <c r="H123" s="279" t="s">
        <v>1706</v>
      </c>
    </row>
    <row r="124" spans="1:8" ht="12.9" customHeight="1">
      <c r="A124" s="1049"/>
      <c r="B124" s="1047"/>
      <c r="C124" s="1054"/>
      <c r="D124" s="277" t="s">
        <v>1704</v>
      </c>
      <c r="E124" s="277" t="s">
        <v>1705</v>
      </c>
      <c r="F124" s="278">
        <v>1428</v>
      </c>
      <c r="G124" s="278">
        <f t="shared" si="1"/>
        <v>1.4279999999999999</v>
      </c>
      <c r="H124" s="279" t="s">
        <v>1706</v>
      </c>
    </row>
    <row r="125" spans="1:8" ht="12.9" customHeight="1">
      <c r="A125" s="1049"/>
      <c r="B125" s="1047"/>
      <c r="C125" s="1055"/>
      <c r="D125" s="277" t="s">
        <v>1735</v>
      </c>
      <c r="E125" s="277" t="s">
        <v>1736</v>
      </c>
      <c r="F125" s="278">
        <v>26484.44</v>
      </c>
      <c r="G125" s="278">
        <f t="shared" si="1"/>
        <v>26.484439999999999</v>
      </c>
      <c r="H125" s="279" t="s">
        <v>1706</v>
      </c>
    </row>
    <row r="126" spans="1:8" ht="12.9" customHeight="1">
      <c r="A126" s="1049"/>
      <c r="B126" s="1047"/>
      <c r="C126" s="1045" t="s">
        <v>1666</v>
      </c>
      <c r="D126" s="277" t="s">
        <v>1711</v>
      </c>
      <c r="E126" s="277" t="s">
        <v>1712</v>
      </c>
      <c r="F126" s="278">
        <v>272000</v>
      </c>
      <c r="G126" s="278">
        <f t="shared" si="1"/>
        <v>272</v>
      </c>
      <c r="H126" s="279" t="s">
        <v>1706</v>
      </c>
    </row>
    <row r="127" spans="1:8" ht="12.9" customHeight="1">
      <c r="A127" s="1049"/>
      <c r="B127" s="1047"/>
      <c r="C127" s="1045"/>
      <c r="D127" s="277" t="s">
        <v>1704</v>
      </c>
      <c r="E127" s="277" t="s">
        <v>1705</v>
      </c>
      <c r="F127" s="278">
        <v>5712</v>
      </c>
      <c r="G127" s="278">
        <f t="shared" si="1"/>
        <v>5.7119999999999997</v>
      </c>
      <c r="H127" s="279" t="s">
        <v>1706</v>
      </c>
    </row>
    <row r="128" spans="1:8" ht="12.9" customHeight="1">
      <c r="A128" s="1049"/>
      <c r="B128" s="1047"/>
      <c r="C128" s="1045" t="s">
        <v>1744</v>
      </c>
      <c r="D128" s="277" t="s">
        <v>1707</v>
      </c>
      <c r="E128" s="277" t="s">
        <v>1527</v>
      </c>
      <c r="F128" s="278">
        <v>1059914.8600000001</v>
      </c>
      <c r="G128" s="278">
        <f t="shared" si="1"/>
        <v>1059.9148600000001</v>
      </c>
      <c r="H128" s="279" t="s">
        <v>1706</v>
      </c>
    </row>
    <row r="129" spans="1:8" ht="12.9" customHeight="1">
      <c r="A129" s="1049"/>
      <c r="B129" s="1047"/>
      <c r="C129" s="1045"/>
      <c r="D129" s="277" t="s">
        <v>1711</v>
      </c>
      <c r="E129" s="277" t="s">
        <v>1712</v>
      </c>
      <c r="F129" s="278">
        <v>910000</v>
      </c>
      <c r="G129" s="278">
        <f t="shared" si="1"/>
        <v>910</v>
      </c>
      <c r="H129" s="279" t="s">
        <v>1706</v>
      </c>
    </row>
    <row r="130" spans="1:8" ht="12.9" customHeight="1">
      <c r="A130" s="1049"/>
      <c r="B130" s="1047"/>
      <c r="C130" s="1045"/>
      <c r="D130" s="277" t="s">
        <v>1713</v>
      </c>
      <c r="E130" s="277" t="s">
        <v>1714</v>
      </c>
      <c r="F130" s="278">
        <v>4000</v>
      </c>
      <c r="G130" s="278">
        <f t="shared" si="1"/>
        <v>4</v>
      </c>
      <c r="H130" s="279" t="s">
        <v>1706</v>
      </c>
    </row>
    <row r="131" spans="1:8" ht="26.1" customHeight="1">
      <c r="A131" s="1049"/>
      <c r="B131" s="1047"/>
      <c r="C131" s="1045"/>
      <c r="D131" s="277" t="s">
        <v>1715</v>
      </c>
      <c r="E131" s="277" t="s">
        <v>1716</v>
      </c>
      <c r="F131" s="278">
        <v>20000</v>
      </c>
      <c r="G131" s="278">
        <f t="shared" si="1"/>
        <v>20</v>
      </c>
      <c r="H131" s="279" t="s">
        <v>1706</v>
      </c>
    </row>
    <row r="132" spans="1:8" ht="26.1" customHeight="1">
      <c r="A132" s="1049"/>
      <c r="B132" s="1039"/>
      <c r="C132" s="277" t="s">
        <v>1668</v>
      </c>
      <c r="D132" s="277" t="s">
        <v>1711</v>
      </c>
      <c r="E132" s="277" t="s">
        <v>1712</v>
      </c>
      <c r="F132" s="278">
        <v>204000</v>
      </c>
      <c r="G132" s="278">
        <f t="shared" si="1"/>
        <v>204</v>
      </c>
      <c r="H132" s="279" t="s">
        <v>1706</v>
      </c>
    </row>
    <row r="133" spans="1:8" ht="26.1" customHeight="1">
      <c r="A133" s="1049"/>
      <c r="B133" s="1043" t="s">
        <v>1745</v>
      </c>
      <c r="C133" s="277" t="s">
        <v>1746</v>
      </c>
      <c r="D133" s="277" t="s">
        <v>1707</v>
      </c>
      <c r="E133" s="277" t="s">
        <v>1527</v>
      </c>
      <c r="F133" s="278">
        <v>554411.19999999995</v>
      </c>
      <c r="G133" s="278">
        <f t="shared" si="1"/>
        <v>554.41120000000001</v>
      </c>
      <c r="H133" s="279" t="s">
        <v>1706</v>
      </c>
    </row>
    <row r="134" spans="1:8" ht="12.9" customHeight="1">
      <c r="A134" s="1049"/>
      <c r="B134" s="1047"/>
      <c r="C134" s="1045" t="s">
        <v>1673</v>
      </c>
      <c r="D134" s="277" t="s">
        <v>1707</v>
      </c>
      <c r="E134" s="277" t="s">
        <v>1527</v>
      </c>
      <c r="F134" s="278">
        <v>527973.09</v>
      </c>
      <c r="G134" s="278">
        <f t="shared" si="1"/>
        <v>527.97308999999996</v>
      </c>
      <c r="H134" s="279" t="s">
        <v>1706</v>
      </c>
    </row>
    <row r="135" spans="1:8" ht="39" customHeight="1">
      <c r="A135" s="1049"/>
      <c r="B135" s="1047"/>
      <c r="C135" s="1045"/>
      <c r="D135" s="277" t="s">
        <v>1747</v>
      </c>
      <c r="E135" s="277" t="s">
        <v>1748</v>
      </c>
      <c r="F135" s="278">
        <v>432000</v>
      </c>
      <c r="G135" s="278">
        <f t="shared" ref="G135:G189" si="2">F135/1000</f>
        <v>432</v>
      </c>
      <c r="H135" s="279" t="s">
        <v>1706</v>
      </c>
    </row>
    <row r="136" spans="1:8" ht="12.9" customHeight="1">
      <c r="A136" s="1049"/>
      <c r="B136" s="1047"/>
      <c r="C136" s="1045"/>
      <c r="D136" s="277" t="s">
        <v>1704</v>
      </c>
      <c r="E136" s="277" t="s">
        <v>1705</v>
      </c>
      <c r="F136" s="278">
        <v>24480</v>
      </c>
      <c r="G136" s="278">
        <f t="shared" si="2"/>
        <v>24.48</v>
      </c>
      <c r="H136" s="279" t="s">
        <v>1706</v>
      </c>
    </row>
    <row r="137" spans="1:8" ht="19.5" customHeight="1">
      <c r="A137" s="1049"/>
      <c r="B137" s="1047"/>
      <c r="C137" s="1045" t="s">
        <v>1749</v>
      </c>
      <c r="D137" s="277" t="s">
        <v>1711</v>
      </c>
      <c r="E137" s="277" t="s">
        <v>1712</v>
      </c>
      <c r="F137" s="278">
        <v>408000</v>
      </c>
      <c r="G137" s="278">
        <f t="shared" si="2"/>
        <v>408</v>
      </c>
      <c r="H137" s="279" t="s">
        <v>1706</v>
      </c>
    </row>
    <row r="138" spans="1:8" ht="19.5" customHeight="1">
      <c r="A138" s="1049"/>
      <c r="B138" s="1047"/>
      <c r="C138" s="1045"/>
      <c r="D138" s="277" t="s">
        <v>1704</v>
      </c>
      <c r="E138" s="277" t="s">
        <v>1705</v>
      </c>
      <c r="F138" s="278">
        <v>3264</v>
      </c>
      <c r="G138" s="278">
        <f t="shared" si="2"/>
        <v>3.2639999999999998</v>
      </c>
      <c r="H138" s="279" t="s">
        <v>1706</v>
      </c>
    </row>
    <row r="139" spans="1:8" ht="12.9" customHeight="1">
      <c r="A139" s="1049"/>
      <c r="B139" s="1047"/>
      <c r="C139" s="1045" t="s">
        <v>1675</v>
      </c>
      <c r="D139" s="277" t="s">
        <v>1707</v>
      </c>
      <c r="E139" s="277" t="s">
        <v>1527</v>
      </c>
      <c r="F139" s="278">
        <v>1242049.49</v>
      </c>
      <c r="G139" s="278">
        <f t="shared" si="2"/>
        <v>1242.0494899999999</v>
      </c>
      <c r="H139" s="279" t="s">
        <v>1706</v>
      </c>
    </row>
    <row r="140" spans="1:8" ht="12.9" customHeight="1">
      <c r="A140" s="1049"/>
      <c r="B140" s="1047"/>
      <c r="C140" s="1045"/>
      <c r="D140" s="277" t="s">
        <v>1704</v>
      </c>
      <c r="E140" s="277" t="s">
        <v>1705</v>
      </c>
      <c r="F140" s="278">
        <v>16728</v>
      </c>
      <c r="G140" s="278">
        <f t="shared" si="2"/>
        <v>16.728000000000002</v>
      </c>
      <c r="H140" s="279" t="s">
        <v>1706</v>
      </c>
    </row>
    <row r="141" spans="1:8" ht="12.9" customHeight="1">
      <c r="A141" s="1049"/>
      <c r="B141" s="1047"/>
      <c r="C141" s="1045" t="s">
        <v>1677</v>
      </c>
      <c r="D141" s="277" t="s">
        <v>1711</v>
      </c>
      <c r="E141" s="277" t="s">
        <v>1712</v>
      </c>
      <c r="F141" s="278">
        <v>279000</v>
      </c>
      <c r="G141" s="278">
        <f t="shared" si="2"/>
        <v>279</v>
      </c>
      <c r="H141" s="279" t="s">
        <v>1706</v>
      </c>
    </row>
    <row r="142" spans="1:8" ht="26.1" customHeight="1">
      <c r="A142" s="1049"/>
      <c r="B142" s="1039"/>
      <c r="C142" s="1045"/>
      <c r="D142" s="277" t="s">
        <v>1715</v>
      </c>
      <c r="E142" s="277" t="s">
        <v>1716</v>
      </c>
      <c r="F142" s="278">
        <v>20000</v>
      </c>
      <c r="G142" s="278">
        <f t="shared" si="2"/>
        <v>20</v>
      </c>
      <c r="H142" s="279" t="s">
        <v>1706</v>
      </c>
    </row>
    <row r="143" spans="1:8" ht="12.9" customHeight="1">
      <c r="A143" s="1049"/>
      <c r="B143" s="1043" t="s">
        <v>1750</v>
      </c>
      <c r="C143" s="280" t="s">
        <v>1680</v>
      </c>
      <c r="D143" s="280" t="s">
        <v>1700</v>
      </c>
      <c r="E143" s="280" t="s">
        <v>1701</v>
      </c>
      <c r="F143" s="281">
        <v>74318</v>
      </c>
      <c r="G143" s="281">
        <f t="shared" si="2"/>
        <v>74.317999999999998</v>
      </c>
      <c r="H143" s="282" t="s">
        <v>1259</v>
      </c>
    </row>
    <row r="144" spans="1:8" ht="12.9" customHeight="1">
      <c r="A144" s="1049"/>
      <c r="B144" s="1047"/>
      <c r="C144" s="1045" t="s">
        <v>1681</v>
      </c>
      <c r="D144" s="277" t="s">
        <v>1700</v>
      </c>
      <c r="E144" s="277" t="s">
        <v>1701</v>
      </c>
      <c r="F144" s="278">
        <v>88918.56</v>
      </c>
      <c r="G144" s="278">
        <f t="shared" si="2"/>
        <v>88.918559999999999</v>
      </c>
      <c r="H144" s="279" t="s">
        <v>1259</v>
      </c>
    </row>
    <row r="145" spans="1:8" ht="12.9" customHeight="1">
      <c r="A145" s="1049"/>
      <c r="B145" s="1047"/>
      <c r="C145" s="1045"/>
      <c r="D145" s="277" t="s">
        <v>1711</v>
      </c>
      <c r="E145" s="277" t="s">
        <v>1712</v>
      </c>
      <c r="F145" s="278">
        <v>218000</v>
      </c>
      <c r="G145" s="278">
        <f t="shared" si="2"/>
        <v>218</v>
      </c>
      <c r="H145" s="279" t="s">
        <v>1706</v>
      </c>
    </row>
    <row r="146" spans="1:8" ht="26.1" customHeight="1">
      <c r="A146" s="1053"/>
      <c r="B146" s="1039"/>
      <c r="C146" s="277" t="s">
        <v>1683</v>
      </c>
      <c r="D146" s="277" t="s">
        <v>1704</v>
      </c>
      <c r="E146" s="277" t="s">
        <v>1705</v>
      </c>
      <c r="F146" s="278">
        <v>12546</v>
      </c>
      <c r="G146" s="278">
        <f t="shared" si="2"/>
        <v>12.545999999999999</v>
      </c>
      <c r="H146" s="279" t="s">
        <v>1706</v>
      </c>
    </row>
    <row r="147" spans="1:8" ht="26.1" customHeight="1">
      <c r="A147" s="1048" t="s">
        <v>1578</v>
      </c>
      <c r="B147" s="1043" t="s">
        <v>1750</v>
      </c>
      <c r="C147" s="277" t="s">
        <v>1684</v>
      </c>
      <c r="D147" s="277" t="s">
        <v>1704</v>
      </c>
      <c r="E147" s="277" t="s">
        <v>1705</v>
      </c>
      <c r="F147" s="278">
        <v>9180</v>
      </c>
      <c r="G147" s="278">
        <f t="shared" si="2"/>
        <v>9.18</v>
      </c>
      <c r="H147" s="279" t="s">
        <v>1706</v>
      </c>
    </row>
    <row r="148" spans="1:8" ht="12.9" customHeight="1">
      <c r="A148" s="1049"/>
      <c r="B148" s="1047"/>
      <c r="C148" s="1045" t="s">
        <v>1686</v>
      </c>
      <c r="D148" s="277" t="s">
        <v>1737</v>
      </c>
      <c r="E148" s="277" t="s">
        <v>1738</v>
      </c>
      <c r="F148" s="278">
        <v>2475.23</v>
      </c>
      <c r="G148" s="278">
        <f t="shared" si="2"/>
        <v>2.4752299999999998</v>
      </c>
      <c r="H148" s="279" t="s">
        <v>1264</v>
      </c>
    </row>
    <row r="149" spans="1:8" ht="12.9" customHeight="1">
      <c r="A149" s="1049"/>
      <c r="B149" s="1047"/>
      <c r="C149" s="1045"/>
      <c r="D149" s="277" t="s">
        <v>1742</v>
      </c>
      <c r="E149" s="277" t="s">
        <v>1743</v>
      </c>
      <c r="F149" s="278">
        <v>15413.63</v>
      </c>
      <c r="G149" s="278">
        <f t="shared" si="2"/>
        <v>15.413629999999999</v>
      </c>
      <c r="H149" s="279" t="s">
        <v>1264</v>
      </c>
    </row>
    <row r="150" spans="1:8" ht="12.9" customHeight="1">
      <c r="A150" s="1049"/>
      <c r="B150" s="1047"/>
      <c r="C150" s="1045"/>
      <c r="D150" s="277" t="s">
        <v>1711</v>
      </c>
      <c r="E150" s="277" t="s">
        <v>1712</v>
      </c>
      <c r="F150" s="278">
        <v>204000</v>
      </c>
      <c r="G150" s="278">
        <f t="shared" si="2"/>
        <v>204</v>
      </c>
      <c r="H150" s="279" t="s">
        <v>1706</v>
      </c>
    </row>
    <row r="151" spans="1:8" ht="12.9" customHeight="1">
      <c r="A151" s="1049"/>
      <c r="B151" s="1047"/>
      <c r="C151" s="1045"/>
      <c r="D151" s="277" t="s">
        <v>1704</v>
      </c>
      <c r="E151" s="277" t="s">
        <v>1705</v>
      </c>
      <c r="F151" s="278">
        <v>13464</v>
      </c>
      <c r="G151" s="278">
        <f t="shared" si="2"/>
        <v>13.464</v>
      </c>
      <c r="H151" s="279" t="s">
        <v>1706</v>
      </c>
    </row>
    <row r="152" spans="1:8" ht="12.9" customHeight="1">
      <c r="A152" s="1049"/>
      <c r="B152" s="1047"/>
      <c r="C152" s="1045" t="s">
        <v>1687</v>
      </c>
      <c r="D152" s="277" t="s">
        <v>1711</v>
      </c>
      <c r="E152" s="277" t="s">
        <v>1712</v>
      </c>
      <c r="F152" s="278">
        <v>408000</v>
      </c>
      <c r="G152" s="278">
        <f t="shared" si="2"/>
        <v>408</v>
      </c>
      <c r="H152" s="279" t="s">
        <v>1706</v>
      </c>
    </row>
    <row r="153" spans="1:8" ht="12.9" customHeight="1">
      <c r="A153" s="1049"/>
      <c r="B153" s="1047"/>
      <c r="C153" s="1045"/>
      <c r="D153" s="277" t="s">
        <v>1704</v>
      </c>
      <c r="E153" s="277" t="s">
        <v>1705</v>
      </c>
      <c r="F153" s="278">
        <v>6324</v>
      </c>
      <c r="G153" s="278">
        <f t="shared" si="2"/>
        <v>6.3239999999999998</v>
      </c>
      <c r="H153" s="279" t="s">
        <v>1706</v>
      </c>
    </row>
    <row r="154" spans="1:8" ht="12.9" customHeight="1">
      <c r="A154" s="1049"/>
      <c r="B154" s="1047"/>
      <c r="C154" s="1045" t="s">
        <v>1688</v>
      </c>
      <c r="D154" s="277" t="s">
        <v>1737</v>
      </c>
      <c r="E154" s="277" t="s">
        <v>1738</v>
      </c>
      <c r="F154" s="278">
        <v>26626.61</v>
      </c>
      <c r="G154" s="278">
        <f t="shared" si="2"/>
        <v>26.626609999999999</v>
      </c>
      <c r="H154" s="279" t="s">
        <v>1264</v>
      </c>
    </row>
    <row r="155" spans="1:8" ht="12.9" customHeight="1">
      <c r="A155" s="1049"/>
      <c r="B155" s="1047"/>
      <c r="C155" s="1045"/>
      <c r="D155" s="277" t="s">
        <v>1707</v>
      </c>
      <c r="E155" s="277" t="s">
        <v>1527</v>
      </c>
      <c r="F155" s="278">
        <v>461594.34</v>
      </c>
      <c r="G155" s="278">
        <f t="shared" si="2"/>
        <v>461.59434000000005</v>
      </c>
      <c r="H155" s="279" t="s">
        <v>1706</v>
      </c>
    </row>
    <row r="156" spans="1:8" ht="12.9" customHeight="1">
      <c r="A156" s="1049"/>
      <c r="B156" s="1047"/>
      <c r="C156" s="1045"/>
      <c r="D156" s="277" t="s">
        <v>1711</v>
      </c>
      <c r="E156" s="277" t="s">
        <v>1712</v>
      </c>
      <c r="F156" s="278">
        <v>680000</v>
      </c>
      <c r="G156" s="278">
        <f t="shared" si="2"/>
        <v>680</v>
      </c>
      <c r="H156" s="279" t="s">
        <v>1706</v>
      </c>
    </row>
    <row r="157" spans="1:8" ht="12.9" customHeight="1">
      <c r="A157" s="1049"/>
      <c r="B157" s="1047"/>
      <c r="C157" s="1045"/>
      <c r="D157" s="277" t="s">
        <v>1704</v>
      </c>
      <c r="E157" s="277" t="s">
        <v>1705</v>
      </c>
      <c r="F157" s="278">
        <v>4284</v>
      </c>
      <c r="G157" s="278">
        <f t="shared" si="2"/>
        <v>4.2839999999999998</v>
      </c>
      <c r="H157" s="279" t="s">
        <v>1706</v>
      </c>
    </row>
    <row r="158" spans="1:8" ht="12.9" customHeight="1">
      <c r="A158" s="1049"/>
      <c r="B158" s="1047"/>
      <c r="C158" s="1045" t="s">
        <v>1692</v>
      </c>
      <c r="D158" s="277" t="s">
        <v>1711</v>
      </c>
      <c r="E158" s="277" t="s">
        <v>1712</v>
      </c>
      <c r="F158" s="278">
        <v>1034000</v>
      </c>
      <c r="G158" s="278">
        <f t="shared" si="2"/>
        <v>1034</v>
      </c>
      <c r="H158" s="279" t="s">
        <v>1706</v>
      </c>
    </row>
    <row r="159" spans="1:8" ht="12.9" customHeight="1">
      <c r="A159" s="1049"/>
      <c r="B159" s="1047"/>
      <c r="C159" s="1045"/>
      <c r="D159" s="277" t="s">
        <v>1713</v>
      </c>
      <c r="E159" s="277" t="s">
        <v>1714</v>
      </c>
      <c r="F159" s="278">
        <v>1000</v>
      </c>
      <c r="G159" s="278">
        <f t="shared" si="2"/>
        <v>1</v>
      </c>
      <c r="H159" s="279" t="s">
        <v>1706</v>
      </c>
    </row>
    <row r="160" spans="1:8" ht="26.1" customHeight="1">
      <c r="A160" s="1049"/>
      <c r="B160" s="1047"/>
      <c r="C160" s="1045"/>
      <c r="D160" s="277" t="s">
        <v>1715</v>
      </c>
      <c r="E160" s="277" t="s">
        <v>1716</v>
      </c>
      <c r="F160" s="278">
        <v>13000</v>
      </c>
      <c r="G160" s="278">
        <f t="shared" si="2"/>
        <v>13</v>
      </c>
      <c r="H160" s="279" t="s">
        <v>1706</v>
      </c>
    </row>
    <row r="161" spans="1:9" ht="26.1" customHeight="1">
      <c r="A161" s="1049"/>
      <c r="B161" s="1047"/>
      <c r="C161" s="1045"/>
      <c r="D161" s="277" t="s">
        <v>1717</v>
      </c>
      <c r="E161" s="277" t="s">
        <v>1718</v>
      </c>
      <c r="F161" s="278">
        <v>200403</v>
      </c>
      <c r="G161" s="278">
        <f t="shared" si="2"/>
        <v>200.40299999999999</v>
      </c>
      <c r="H161" s="279" t="s">
        <v>1706</v>
      </c>
    </row>
    <row r="162" spans="1:9" ht="12.9" customHeight="1">
      <c r="A162" s="1049"/>
      <c r="B162" s="1047"/>
      <c r="C162" s="1045" t="s">
        <v>1693</v>
      </c>
      <c r="D162" s="277" t="s">
        <v>1711</v>
      </c>
      <c r="E162" s="277" t="s">
        <v>1712</v>
      </c>
      <c r="F162" s="278">
        <v>612000</v>
      </c>
      <c r="G162" s="278">
        <f t="shared" si="2"/>
        <v>612</v>
      </c>
      <c r="H162" s="279" t="s">
        <v>1706</v>
      </c>
    </row>
    <row r="163" spans="1:9" ht="12.9" customHeight="1">
      <c r="A163" s="1049"/>
      <c r="B163" s="1047"/>
      <c r="C163" s="1045"/>
      <c r="D163" s="277" t="s">
        <v>1751</v>
      </c>
      <c r="E163" s="277" t="s">
        <v>1752</v>
      </c>
      <c r="F163" s="278">
        <v>290268.59999999998</v>
      </c>
      <c r="G163" s="278">
        <f t="shared" si="2"/>
        <v>290.26859999999999</v>
      </c>
      <c r="H163" s="279" t="s">
        <v>1706</v>
      </c>
    </row>
    <row r="164" spans="1:9" ht="12.9" customHeight="1">
      <c r="A164" s="1049"/>
      <c r="B164" s="1047"/>
      <c r="C164" s="1045" t="s">
        <v>1694</v>
      </c>
      <c r="D164" s="277" t="s">
        <v>1711</v>
      </c>
      <c r="E164" s="277" t="s">
        <v>1712</v>
      </c>
      <c r="F164" s="278">
        <v>684000</v>
      </c>
      <c r="G164" s="278">
        <f t="shared" si="2"/>
        <v>684</v>
      </c>
      <c r="H164" s="279" t="s">
        <v>1706</v>
      </c>
    </row>
    <row r="165" spans="1:9" ht="26.1" customHeight="1">
      <c r="A165" s="1049"/>
      <c r="B165" s="1047"/>
      <c r="C165" s="1045"/>
      <c r="D165" s="277" t="s">
        <v>1715</v>
      </c>
      <c r="E165" s="277" t="s">
        <v>1716</v>
      </c>
      <c r="F165" s="278">
        <v>10000</v>
      </c>
      <c r="G165" s="278">
        <f t="shared" si="2"/>
        <v>10</v>
      </c>
      <c r="H165" s="279" t="s">
        <v>1706</v>
      </c>
    </row>
    <row r="166" spans="1:9" ht="12.9" customHeight="1" thickBot="1">
      <c r="A166" s="1050"/>
      <c r="B166" s="1051"/>
      <c r="C166" s="1052"/>
      <c r="D166" s="283" t="s">
        <v>1739</v>
      </c>
      <c r="E166" s="283" t="s">
        <v>1740</v>
      </c>
      <c r="F166" s="284">
        <v>57800</v>
      </c>
      <c r="G166" s="284">
        <f t="shared" si="2"/>
        <v>57.8</v>
      </c>
      <c r="H166" s="285" t="s">
        <v>1706</v>
      </c>
    </row>
    <row r="167" spans="1:9" ht="12.9" customHeight="1" thickBot="1">
      <c r="A167" s="1029" t="s">
        <v>1753</v>
      </c>
      <c r="B167" s="1030"/>
      <c r="C167" s="1030"/>
      <c r="D167" s="286"/>
      <c r="E167" s="286"/>
      <c r="F167" s="287"/>
      <c r="G167" s="288">
        <f>SUM(G6:G166)</f>
        <v>90807.888550000018</v>
      </c>
      <c r="H167" s="289"/>
      <c r="I167" s="290"/>
    </row>
    <row r="168" spans="1:9" ht="12.9" customHeight="1" thickBot="1">
      <c r="A168" s="1036" t="s">
        <v>1754</v>
      </c>
      <c r="B168" s="1037"/>
      <c r="C168" s="1037"/>
      <c r="D168" s="1037"/>
      <c r="E168" s="1037"/>
      <c r="F168" s="1037"/>
      <c r="G168" s="1037"/>
      <c r="H168" s="1038"/>
    </row>
    <row r="169" spans="1:9" ht="26.1" customHeight="1" thickTop="1">
      <c r="A169" s="1039" t="s">
        <v>1755</v>
      </c>
      <c r="B169" s="1040"/>
      <c r="C169" s="280" t="s">
        <v>1756</v>
      </c>
      <c r="D169" s="280" t="s">
        <v>1757</v>
      </c>
      <c r="E169" s="280" t="s">
        <v>1758</v>
      </c>
      <c r="F169" s="281">
        <v>80000</v>
      </c>
      <c r="G169" s="281">
        <f t="shared" si="2"/>
        <v>80</v>
      </c>
      <c r="H169" s="282" t="s">
        <v>1274</v>
      </c>
    </row>
    <row r="170" spans="1:9" ht="26.1" customHeight="1">
      <c r="A170" s="1041"/>
      <c r="B170" s="1042"/>
      <c r="C170" s="277" t="s">
        <v>1759</v>
      </c>
      <c r="D170" s="277" t="s">
        <v>1760</v>
      </c>
      <c r="E170" s="277" t="s">
        <v>1761</v>
      </c>
      <c r="F170" s="278">
        <v>11000</v>
      </c>
      <c r="G170" s="278">
        <f t="shared" si="2"/>
        <v>11</v>
      </c>
      <c r="H170" s="279" t="s">
        <v>1274</v>
      </c>
    </row>
    <row r="171" spans="1:9" ht="12.9" customHeight="1">
      <c r="A171" s="1041"/>
      <c r="B171" s="1042"/>
      <c r="C171" s="1045" t="s">
        <v>1762</v>
      </c>
      <c r="D171" s="277" t="s">
        <v>1763</v>
      </c>
      <c r="E171" s="277" t="s">
        <v>1764</v>
      </c>
      <c r="F171" s="278">
        <v>42000</v>
      </c>
      <c r="G171" s="278">
        <f t="shared" si="2"/>
        <v>42</v>
      </c>
      <c r="H171" s="279" t="s">
        <v>1274</v>
      </c>
    </row>
    <row r="172" spans="1:9" ht="26.1" customHeight="1">
      <c r="A172" s="1041"/>
      <c r="B172" s="1042"/>
      <c r="C172" s="1045"/>
      <c r="D172" s="277" t="s">
        <v>1765</v>
      </c>
      <c r="E172" s="277" t="s">
        <v>1766</v>
      </c>
      <c r="F172" s="278">
        <v>140000</v>
      </c>
      <c r="G172" s="278">
        <f t="shared" si="2"/>
        <v>140</v>
      </c>
      <c r="H172" s="279" t="s">
        <v>1274</v>
      </c>
    </row>
    <row r="173" spans="1:9" ht="19.5" customHeight="1">
      <c r="A173" s="1041"/>
      <c r="B173" s="1042"/>
      <c r="C173" s="1045" t="s">
        <v>1767</v>
      </c>
      <c r="D173" s="277" t="s">
        <v>1760</v>
      </c>
      <c r="E173" s="277" t="s">
        <v>1761</v>
      </c>
      <c r="F173" s="278">
        <v>498000</v>
      </c>
      <c r="G173" s="278">
        <f t="shared" si="2"/>
        <v>498</v>
      </c>
      <c r="H173" s="279" t="s">
        <v>1274</v>
      </c>
    </row>
    <row r="174" spans="1:9" ht="19.5" customHeight="1">
      <c r="A174" s="1041"/>
      <c r="B174" s="1042"/>
      <c r="C174" s="1045"/>
      <c r="D174" s="277" t="s">
        <v>1757</v>
      </c>
      <c r="E174" s="277" t="s">
        <v>1758</v>
      </c>
      <c r="F174" s="278">
        <v>60000</v>
      </c>
      <c r="G174" s="278">
        <f t="shared" si="2"/>
        <v>60</v>
      </c>
      <c r="H174" s="279" t="s">
        <v>1274</v>
      </c>
    </row>
    <row r="175" spans="1:9" ht="26.1" customHeight="1">
      <c r="A175" s="1041"/>
      <c r="B175" s="1042"/>
      <c r="C175" s="277" t="s">
        <v>1768</v>
      </c>
      <c r="D175" s="277" t="s">
        <v>1757</v>
      </c>
      <c r="E175" s="277" t="s">
        <v>1758</v>
      </c>
      <c r="F175" s="278">
        <v>200000</v>
      </c>
      <c r="G175" s="278">
        <f t="shared" si="2"/>
        <v>200</v>
      </c>
      <c r="H175" s="279" t="s">
        <v>1274</v>
      </c>
    </row>
    <row r="176" spans="1:9" ht="12.9" customHeight="1">
      <c r="A176" s="1041"/>
      <c r="B176" s="1042"/>
      <c r="C176" s="1045" t="s">
        <v>1769</v>
      </c>
      <c r="D176" s="277" t="s">
        <v>1757</v>
      </c>
      <c r="E176" s="277" t="s">
        <v>1758</v>
      </c>
      <c r="F176" s="278">
        <v>170000</v>
      </c>
      <c r="G176" s="278">
        <f t="shared" si="2"/>
        <v>170</v>
      </c>
      <c r="H176" s="279" t="s">
        <v>1274</v>
      </c>
    </row>
    <row r="177" spans="1:9" ht="12.9" customHeight="1">
      <c r="A177" s="1041"/>
      <c r="B177" s="1042"/>
      <c r="C177" s="1045"/>
      <c r="D177" s="277" t="s">
        <v>1770</v>
      </c>
      <c r="E177" s="277" t="s">
        <v>1771</v>
      </c>
      <c r="F177" s="278">
        <v>161000</v>
      </c>
      <c r="G177" s="278">
        <f t="shared" si="2"/>
        <v>161</v>
      </c>
      <c r="H177" s="279" t="s">
        <v>1274</v>
      </c>
    </row>
    <row r="178" spans="1:9" ht="12.9" customHeight="1">
      <c r="A178" s="1041"/>
      <c r="B178" s="1042"/>
      <c r="C178" s="1045" t="s">
        <v>1772</v>
      </c>
      <c r="D178" s="277" t="s">
        <v>1737</v>
      </c>
      <c r="E178" s="277" t="s">
        <v>1738</v>
      </c>
      <c r="F178" s="278">
        <v>64373.98</v>
      </c>
      <c r="G178" s="278">
        <f t="shared" si="2"/>
        <v>64.373980000000003</v>
      </c>
      <c r="H178" s="279" t="s">
        <v>1264</v>
      </c>
    </row>
    <row r="179" spans="1:9" ht="12.9" customHeight="1">
      <c r="A179" s="1041"/>
      <c r="B179" s="1042"/>
      <c r="C179" s="1045"/>
      <c r="D179" s="277" t="s">
        <v>1760</v>
      </c>
      <c r="E179" s="277" t="s">
        <v>1761</v>
      </c>
      <c r="F179" s="278">
        <v>103000</v>
      </c>
      <c r="G179" s="278">
        <f t="shared" si="2"/>
        <v>103</v>
      </c>
      <c r="H179" s="279" t="s">
        <v>1274</v>
      </c>
    </row>
    <row r="180" spans="1:9" ht="26.1" customHeight="1">
      <c r="A180" s="1041"/>
      <c r="B180" s="1042"/>
      <c r="C180" s="1045"/>
      <c r="D180" s="277" t="s">
        <v>1773</v>
      </c>
      <c r="E180" s="277" t="s">
        <v>1774</v>
      </c>
      <c r="F180" s="278">
        <v>73000</v>
      </c>
      <c r="G180" s="278">
        <f t="shared" si="2"/>
        <v>73</v>
      </c>
      <c r="H180" s="279" t="s">
        <v>1274</v>
      </c>
    </row>
    <row r="181" spans="1:9" ht="26.1" customHeight="1" thickBot="1">
      <c r="A181" s="1043"/>
      <c r="B181" s="1044"/>
      <c r="C181" s="1046"/>
      <c r="D181" s="291" t="s">
        <v>1765</v>
      </c>
      <c r="E181" s="291" t="s">
        <v>1766</v>
      </c>
      <c r="F181" s="292">
        <v>191000</v>
      </c>
      <c r="G181" s="292">
        <f t="shared" si="2"/>
        <v>191</v>
      </c>
      <c r="H181" s="293" t="s">
        <v>1274</v>
      </c>
    </row>
    <row r="182" spans="1:9" ht="12.9" customHeight="1" thickBot="1">
      <c r="A182" s="1029" t="s">
        <v>1775</v>
      </c>
      <c r="B182" s="1030"/>
      <c r="C182" s="1030"/>
      <c r="D182" s="286"/>
      <c r="E182" s="294"/>
      <c r="F182" s="287">
        <v>1793373.98</v>
      </c>
      <c r="G182" s="288">
        <f t="shared" si="2"/>
        <v>1793.3739800000001</v>
      </c>
      <c r="H182" s="289"/>
      <c r="I182" s="290"/>
    </row>
    <row r="183" spans="1:9" ht="12.9" customHeight="1" thickBot="1">
      <c r="A183" s="1036" t="s">
        <v>1444</v>
      </c>
      <c r="B183" s="1037"/>
      <c r="C183" s="1037"/>
      <c r="D183" s="1037"/>
      <c r="E183" s="1037"/>
      <c r="F183" s="1037"/>
      <c r="G183" s="1037"/>
      <c r="H183" s="1038"/>
    </row>
    <row r="184" spans="1:9" ht="42" customHeight="1" thickTop="1" thickBot="1">
      <c r="A184" s="1034" t="s">
        <v>1776</v>
      </c>
      <c r="B184" s="1035"/>
      <c r="C184" s="295" t="s">
        <v>1777</v>
      </c>
      <c r="D184" s="295" t="s">
        <v>1778</v>
      </c>
      <c r="E184" s="295" t="s">
        <v>1779</v>
      </c>
      <c r="F184" s="296">
        <v>21488000</v>
      </c>
      <c r="G184" s="296">
        <f t="shared" si="2"/>
        <v>21488</v>
      </c>
      <c r="H184" s="297" t="s">
        <v>1259</v>
      </c>
    </row>
    <row r="185" spans="1:9" ht="12.9" customHeight="1" thickBot="1">
      <c r="A185" s="1029" t="s">
        <v>1780</v>
      </c>
      <c r="B185" s="1030"/>
      <c r="C185" s="1030"/>
      <c r="D185" s="298"/>
      <c r="E185" s="299"/>
      <c r="F185" s="287">
        <v>21488000</v>
      </c>
      <c r="G185" s="288">
        <f t="shared" si="2"/>
        <v>21488</v>
      </c>
      <c r="H185" s="300"/>
    </row>
    <row r="186" spans="1:9" ht="12.9" customHeight="1" thickBot="1">
      <c r="A186" s="1036" t="s">
        <v>1499</v>
      </c>
      <c r="B186" s="1037"/>
      <c r="C186" s="1037"/>
      <c r="D186" s="1037"/>
      <c r="E186" s="1037"/>
      <c r="F186" s="1037"/>
      <c r="G186" s="1037"/>
      <c r="H186" s="1038"/>
    </row>
    <row r="187" spans="1:9" ht="48" customHeight="1" thickTop="1" thickBot="1">
      <c r="A187" s="1034" t="s">
        <v>1781</v>
      </c>
      <c r="B187" s="1035"/>
      <c r="C187" s="295" t="s">
        <v>1782</v>
      </c>
      <c r="D187" s="295" t="s">
        <v>1702</v>
      </c>
      <c r="E187" s="295" t="s">
        <v>1703</v>
      </c>
      <c r="F187" s="296">
        <v>3122525</v>
      </c>
      <c r="G187" s="296">
        <f t="shared" si="2"/>
        <v>3122.5250000000001</v>
      </c>
      <c r="H187" s="297" t="s">
        <v>1259</v>
      </c>
    </row>
    <row r="188" spans="1:9" ht="12.9" customHeight="1" thickBot="1">
      <c r="A188" s="1029" t="s">
        <v>1783</v>
      </c>
      <c r="B188" s="1030"/>
      <c r="C188" s="1030"/>
      <c r="D188" s="286"/>
      <c r="E188" s="294"/>
      <c r="F188" s="287">
        <v>3122525</v>
      </c>
      <c r="G188" s="288">
        <f t="shared" si="2"/>
        <v>3122.5250000000001</v>
      </c>
      <c r="H188" s="300"/>
    </row>
    <row r="189" spans="1:9" ht="12.9" customHeight="1" thickBot="1">
      <c r="A189" s="1031" t="s">
        <v>1784</v>
      </c>
      <c r="B189" s="1032"/>
      <c r="C189" s="1032"/>
      <c r="D189" s="1032"/>
      <c r="E189" s="1032"/>
      <c r="F189" s="287">
        <v>117211787.53</v>
      </c>
      <c r="G189" s="301">
        <f t="shared" si="2"/>
        <v>117211.78753</v>
      </c>
      <c r="H189" s="300"/>
    </row>
    <row r="190" spans="1:9">
      <c r="G190" s="290"/>
    </row>
    <row r="191" spans="1:9">
      <c r="A191" s="1033" t="s">
        <v>1785</v>
      </c>
      <c r="B191" s="1033"/>
      <c r="C191" s="1033"/>
    </row>
    <row r="192" spans="1:9">
      <c r="E192" s="1028" t="s">
        <v>1786</v>
      </c>
      <c r="F192" s="1028"/>
      <c r="G192" s="1028"/>
    </row>
    <row r="193" spans="5:7">
      <c r="E193" s="1028" t="s">
        <v>1787</v>
      </c>
      <c r="F193" s="1028"/>
      <c r="G193" s="1028"/>
    </row>
    <row r="194" spans="5:7">
      <c r="E194" s="1028" t="s">
        <v>1788</v>
      </c>
      <c r="F194" s="1028"/>
      <c r="G194" s="1028"/>
    </row>
    <row r="195" spans="5:7">
      <c r="E195" s="1028" t="s">
        <v>1789</v>
      </c>
      <c r="F195" s="1028"/>
      <c r="G195" s="1028"/>
    </row>
  </sheetData>
  <mergeCells count="87">
    <mergeCell ref="C39:C41"/>
    <mergeCell ref="A1:H1"/>
    <mergeCell ref="A2:H2"/>
    <mergeCell ref="A5:H5"/>
    <mergeCell ref="A6:A48"/>
    <mergeCell ref="B6:B19"/>
    <mergeCell ref="C7:C8"/>
    <mergeCell ref="C10:C12"/>
    <mergeCell ref="C15:C19"/>
    <mergeCell ref="B20:B42"/>
    <mergeCell ref="C22:C23"/>
    <mergeCell ref="C24:C25"/>
    <mergeCell ref="C26:C28"/>
    <mergeCell ref="C30:C31"/>
    <mergeCell ref="C32:C34"/>
    <mergeCell ref="C37:C38"/>
    <mergeCell ref="C76:C77"/>
    <mergeCell ref="B43:B48"/>
    <mergeCell ref="C44:C46"/>
    <mergeCell ref="C47:C48"/>
    <mergeCell ref="A49:A97"/>
    <mergeCell ref="B49:B53"/>
    <mergeCell ref="C49:C50"/>
    <mergeCell ref="C51:C53"/>
    <mergeCell ref="B54:B97"/>
    <mergeCell ref="C55:C56"/>
    <mergeCell ref="C57:C58"/>
    <mergeCell ref="C61:C62"/>
    <mergeCell ref="C63:C64"/>
    <mergeCell ref="C67:C68"/>
    <mergeCell ref="C71:C73"/>
    <mergeCell ref="C74:C75"/>
    <mergeCell ref="C109:C111"/>
    <mergeCell ref="C112:C113"/>
    <mergeCell ref="C114:C116"/>
    <mergeCell ref="B117:B132"/>
    <mergeCell ref="C79:C82"/>
    <mergeCell ref="C84:C87"/>
    <mergeCell ref="C88:C90"/>
    <mergeCell ref="C91:C92"/>
    <mergeCell ref="C93:C94"/>
    <mergeCell ref="C95:C97"/>
    <mergeCell ref="C117:C120"/>
    <mergeCell ref="C122:C125"/>
    <mergeCell ref="C126:C127"/>
    <mergeCell ref="C128:C131"/>
    <mergeCell ref="B133:B142"/>
    <mergeCell ref="C134:C136"/>
    <mergeCell ref="C137:C138"/>
    <mergeCell ref="C139:C140"/>
    <mergeCell ref="C141:C142"/>
    <mergeCell ref="B143:B146"/>
    <mergeCell ref="C144:C145"/>
    <mergeCell ref="A147:A166"/>
    <mergeCell ref="B147:B166"/>
    <mergeCell ref="C148:C151"/>
    <mergeCell ref="C152:C153"/>
    <mergeCell ref="C154:C157"/>
    <mergeCell ref="C158:C161"/>
    <mergeCell ref="C162:C163"/>
    <mergeCell ref="C164:C166"/>
    <mergeCell ref="A98:A146"/>
    <mergeCell ref="B98:B116"/>
    <mergeCell ref="C98:C100"/>
    <mergeCell ref="C101:C102"/>
    <mergeCell ref="C103:C106"/>
    <mergeCell ref="C107:C108"/>
    <mergeCell ref="A187:B187"/>
    <mergeCell ref="A167:C167"/>
    <mergeCell ref="A168:H168"/>
    <mergeCell ref="A169:B181"/>
    <mergeCell ref="C171:C172"/>
    <mergeCell ref="C173:C174"/>
    <mergeCell ref="C176:C177"/>
    <mergeCell ref="C178:C181"/>
    <mergeCell ref="A182:C182"/>
    <mergeCell ref="A183:H183"/>
    <mergeCell ref="A184:B184"/>
    <mergeCell ref="A185:C185"/>
    <mergeCell ref="A186:H186"/>
    <mergeCell ref="E195:G195"/>
    <mergeCell ref="A188:C188"/>
    <mergeCell ref="A189:E189"/>
    <mergeCell ref="A191:C191"/>
    <mergeCell ref="E192:G192"/>
    <mergeCell ref="E193:G193"/>
    <mergeCell ref="E194:G194"/>
  </mergeCells>
  <pageMargins left="0.78740157499999996" right="0.78740157499999996" top="0.984251969" bottom="0.984251969" header="0.4921259845" footer="0.4921259845"/>
  <pageSetup paperSize="9" scale="85" orientation="portrait" r:id="rId1"/>
  <headerFooter alignWithMargins="0">
    <oddHeader>&amp;LPříloha č. 11&amp;CZávěrečný účet Plzeňského kraje za rok 2010</oddHeader>
    <oddFooter>&amp;LKrajský úřad Plzeňského kraje
Odbor ekonomický&amp;C&amp;P&amp;R&amp;D</oddFooter>
  </headerFooter>
  <rowBreaks count="1" manualBreakCount="1">
    <brk id="9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M189"/>
  <sheetViews>
    <sheetView topLeftCell="A142" zoomScaleNormal="100" workbookViewId="0">
      <selection activeCell="A150" sqref="A150"/>
    </sheetView>
  </sheetViews>
  <sheetFormatPr defaultRowHeight="13.2"/>
  <cols>
    <col min="1" max="1" width="31.88671875" style="118" customWidth="1"/>
    <col min="2" max="2" width="7.88671875" style="367" customWidth="1"/>
    <col min="3" max="3" width="40.88671875" style="118" customWidth="1"/>
    <col min="4" max="4" width="10.109375" style="118" customWidth="1"/>
    <col min="5" max="5" width="8.109375" style="118" customWidth="1"/>
    <col min="6" max="6" width="11.88671875" style="118" customWidth="1"/>
    <col min="7" max="7" width="12" style="118" customWidth="1"/>
    <col min="8" max="24" width="12.5546875" style="118" customWidth="1"/>
    <col min="25" max="25" width="2.109375" style="118" customWidth="1"/>
    <col min="26" max="26" width="8.6640625" style="118" bestFit="1" customWidth="1"/>
    <col min="27" max="27" width="2.5546875" style="118" customWidth="1"/>
    <col min="28" max="256" width="9.109375" style="118"/>
    <col min="257" max="257" width="31.88671875" style="118" customWidth="1"/>
    <col min="258" max="258" width="7.88671875" style="118" customWidth="1"/>
    <col min="259" max="259" width="40.88671875" style="118" customWidth="1"/>
    <col min="260" max="260" width="10.109375" style="118" customWidth="1"/>
    <col min="261" max="261" width="8.109375" style="118" customWidth="1"/>
    <col min="262" max="262" width="11.88671875" style="118" customWidth="1"/>
    <col min="263" max="263" width="12" style="118" customWidth="1"/>
    <col min="264" max="280" width="12.5546875" style="118" customWidth="1"/>
    <col min="281" max="281" width="2.109375" style="118" customWidth="1"/>
    <col min="282" max="282" width="8.6640625" style="118" bestFit="1" customWidth="1"/>
    <col min="283" max="283" width="2.5546875" style="118" customWidth="1"/>
    <col min="284" max="512" width="9.109375" style="118"/>
    <col min="513" max="513" width="31.88671875" style="118" customWidth="1"/>
    <col min="514" max="514" width="7.88671875" style="118" customWidth="1"/>
    <col min="515" max="515" width="40.88671875" style="118" customWidth="1"/>
    <col min="516" max="516" width="10.109375" style="118" customWidth="1"/>
    <col min="517" max="517" width="8.109375" style="118" customWidth="1"/>
    <col min="518" max="518" width="11.88671875" style="118" customWidth="1"/>
    <col min="519" max="519" width="12" style="118" customWidth="1"/>
    <col min="520" max="536" width="12.5546875" style="118" customWidth="1"/>
    <col min="537" max="537" width="2.109375" style="118" customWidth="1"/>
    <col min="538" max="538" width="8.6640625" style="118" bestFit="1" customWidth="1"/>
    <col min="539" max="539" width="2.5546875" style="118" customWidth="1"/>
    <col min="540" max="768" width="9.109375" style="118"/>
    <col min="769" max="769" width="31.88671875" style="118" customWidth="1"/>
    <col min="770" max="770" width="7.88671875" style="118" customWidth="1"/>
    <col min="771" max="771" width="40.88671875" style="118" customWidth="1"/>
    <col min="772" max="772" width="10.109375" style="118" customWidth="1"/>
    <col min="773" max="773" width="8.109375" style="118" customWidth="1"/>
    <col min="774" max="774" width="11.88671875" style="118" customWidth="1"/>
    <col min="775" max="775" width="12" style="118" customWidth="1"/>
    <col min="776" max="792" width="12.5546875" style="118" customWidth="1"/>
    <col min="793" max="793" width="2.109375" style="118" customWidth="1"/>
    <col min="794" max="794" width="8.6640625" style="118" bestFit="1" customWidth="1"/>
    <col min="795" max="795" width="2.5546875" style="118" customWidth="1"/>
    <col min="796" max="1024" width="9.109375" style="118"/>
    <col min="1025" max="1025" width="31.88671875" style="118" customWidth="1"/>
    <col min="1026" max="1026" width="7.88671875" style="118" customWidth="1"/>
    <col min="1027" max="1027" width="40.88671875" style="118" customWidth="1"/>
    <col min="1028" max="1028" width="10.109375" style="118" customWidth="1"/>
    <col min="1029" max="1029" width="8.109375" style="118" customWidth="1"/>
    <col min="1030" max="1030" width="11.88671875" style="118" customWidth="1"/>
    <col min="1031" max="1031" width="12" style="118" customWidth="1"/>
    <col min="1032" max="1048" width="12.5546875" style="118" customWidth="1"/>
    <col min="1049" max="1049" width="2.109375" style="118" customWidth="1"/>
    <col min="1050" max="1050" width="8.6640625" style="118" bestFit="1" customWidth="1"/>
    <col min="1051" max="1051" width="2.5546875" style="118" customWidth="1"/>
    <col min="1052" max="1280" width="9.109375" style="118"/>
    <col min="1281" max="1281" width="31.88671875" style="118" customWidth="1"/>
    <col min="1282" max="1282" width="7.88671875" style="118" customWidth="1"/>
    <col min="1283" max="1283" width="40.88671875" style="118" customWidth="1"/>
    <col min="1284" max="1284" width="10.109375" style="118" customWidth="1"/>
    <col min="1285" max="1285" width="8.109375" style="118" customWidth="1"/>
    <col min="1286" max="1286" width="11.88671875" style="118" customWidth="1"/>
    <col min="1287" max="1287" width="12" style="118" customWidth="1"/>
    <col min="1288" max="1304" width="12.5546875" style="118" customWidth="1"/>
    <col min="1305" max="1305" width="2.109375" style="118" customWidth="1"/>
    <col min="1306" max="1306" width="8.6640625" style="118" bestFit="1" customWidth="1"/>
    <col min="1307" max="1307" width="2.5546875" style="118" customWidth="1"/>
    <col min="1308" max="1536" width="9.109375" style="118"/>
    <col min="1537" max="1537" width="31.88671875" style="118" customWidth="1"/>
    <col min="1538" max="1538" width="7.88671875" style="118" customWidth="1"/>
    <col min="1539" max="1539" width="40.88671875" style="118" customWidth="1"/>
    <col min="1540" max="1540" width="10.109375" style="118" customWidth="1"/>
    <col min="1541" max="1541" width="8.109375" style="118" customWidth="1"/>
    <col min="1542" max="1542" width="11.88671875" style="118" customWidth="1"/>
    <col min="1543" max="1543" width="12" style="118" customWidth="1"/>
    <col min="1544" max="1560" width="12.5546875" style="118" customWidth="1"/>
    <col min="1561" max="1561" width="2.109375" style="118" customWidth="1"/>
    <col min="1562" max="1562" width="8.6640625" style="118" bestFit="1" customWidth="1"/>
    <col min="1563" max="1563" width="2.5546875" style="118" customWidth="1"/>
    <col min="1564" max="1792" width="9.109375" style="118"/>
    <col min="1793" max="1793" width="31.88671875" style="118" customWidth="1"/>
    <col min="1794" max="1794" width="7.88671875" style="118" customWidth="1"/>
    <col min="1795" max="1795" width="40.88671875" style="118" customWidth="1"/>
    <col min="1796" max="1796" width="10.109375" style="118" customWidth="1"/>
    <col min="1797" max="1797" width="8.109375" style="118" customWidth="1"/>
    <col min="1798" max="1798" width="11.88671875" style="118" customWidth="1"/>
    <col min="1799" max="1799" width="12" style="118" customWidth="1"/>
    <col min="1800" max="1816" width="12.5546875" style="118" customWidth="1"/>
    <col min="1817" max="1817" width="2.109375" style="118" customWidth="1"/>
    <col min="1818" max="1818" width="8.6640625" style="118" bestFit="1" customWidth="1"/>
    <col min="1819" max="1819" width="2.5546875" style="118" customWidth="1"/>
    <col min="1820" max="2048" width="9.109375" style="118"/>
    <col min="2049" max="2049" width="31.88671875" style="118" customWidth="1"/>
    <col min="2050" max="2050" width="7.88671875" style="118" customWidth="1"/>
    <col min="2051" max="2051" width="40.88671875" style="118" customWidth="1"/>
    <col min="2052" max="2052" width="10.109375" style="118" customWidth="1"/>
    <col min="2053" max="2053" width="8.109375" style="118" customWidth="1"/>
    <col min="2054" max="2054" width="11.88671875" style="118" customWidth="1"/>
    <col min="2055" max="2055" width="12" style="118" customWidth="1"/>
    <col min="2056" max="2072" width="12.5546875" style="118" customWidth="1"/>
    <col min="2073" max="2073" width="2.109375" style="118" customWidth="1"/>
    <col min="2074" max="2074" width="8.6640625" style="118" bestFit="1" customWidth="1"/>
    <col min="2075" max="2075" width="2.5546875" style="118" customWidth="1"/>
    <col min="2076" max="2304" width="9.109375" style="118"/>
    <col min="2305" max="2305" width="31.88671875" style="118" customWidth="1"/>
    <col min="2306" max="2306" width="7.88671875" style="118" customWidth="1"/>
    <col min="2307" max="2307" width="40.88671875" style="118" customWidth="1"/>
    <col min="2308" max="2308" width="10.109375" style="118" customWidth="1"/>
    <col min="2309" max="2309" width="8.109375" style="118" customWidth="1"/>
    <col min="2310" max="2310" width="11.88671875" style="118" customWidth="1"/>
    <col min="2311" max="2311" width="12" style="118" customWidth="1"/>
    <col min="2312" max="2328" width="12.5546875" style="118" customWidth="1"/>
    <col min="2329" max="2329" width="2.109375" style="118" customWidth="1"/>
    <col min="2330" max="2330" width="8.6640625" style="118" bestFit="1" customWidth="1"/>
    <col min="2331" max="2331" width="2.5546875" style="118" customWidth="1"/>
    <col min="2332" max="2560" width="9.109375" style="118"/>
    <col min="2561" max="2561" width="31.88671875" style="118" customWidth="1"/>
    <col min="2562" max="2562" width="7.88671875" style="118" customWidth="1"/>
    <col min="2563" max="2563" width="40.88671875" style="118" customWidth="1"/>
    <col min="2564" max="2564" width="10.109375" style="118" customWidth="1"/>
    <col min="2565" max="2565" width="8.109375" style="118" customWidth="1"/>
    <col min="2566" max="2566" width="11.88671875" style="118" customWidth="1"/>
    <col min="2567" max="2567" width="12" style="118" customWidth="1"/>
    <col min="2568" max="2584" width="12.5546875" style="118" customWidth="1"/>
    <col min="2585" max="2585" width="2.109375" style="118" customWidth="1"/>
    <col min="2586" max="2586" width="8.6640625" style="118" bestFit="1" customWidth="1"/>
    <col min="2587" max="2587" width="2.5546875" style="118" customWidth="1"/>
    <col min="2588" max="2816" width="9.109375" style="118"/>
    <col min="2817" max="2817" width="31.88671875" style="118" customWidth="1"/>
    <col min="2818" max="2818" width="7.88671875" style="118" customWidth="1"/>
    <col min="2819" max="2819" width="40.88671875" style="118" customWidth="1"/>
    <col min="2820" max="2820" width="10.109375" style="118" customWidth="1"/>
    <col min="2821" max="2821" width="8.109375" style="118" customWidth="1"/>
    <col min="2822" max="2822" width="11.88671875" style="118" customWidth="1"/>
    <col min="2823" max="2823" width="12" style="118" customWidth="1"/>
    <col min="2824" max="2840" width="12.5546875" style="118" customWidth="1"/>
    <col min="2841" max="2841" width="2.109375" style="118" customWidth="1"/>
    <col min="2842" max="2842" width="8.6640625" style="118" bestFit="1" customWidth="1"/>
    <col min="2843" max="2843" width="2.5546875" style="118" customWidth="1"/>
    <col min="2844" max="3072" width="9.109375" style="118"/>
    <col min="3073" max="3073" width="31.88671875" style="118" customWidth="1"/>
    <col min="3074" max="3074" width="7.88671875" style="118" customWidth="1"/>
    <col min="3075" max="3075" width="40.88671875" style="118" customWidth="1"/>
    <col min="3076" max="3076" width="10.109375" style="118" customWidth="1"/>
    <col min="3077" max="3077" width="8.109375" style="118" customWidth="1"/>
    <col min="3078" max="3078" width="11.88671875" style="118" customWidth="1"/>
    <col min="3079" max="3079" width="12" style="118" customWidth="1"/>
    <col min="3080" max="3096" width="12.5546875" style="118" customWidth="1"/>
    <col min="3097" max="3097" width="2.109375" style="118" customWidth="1"/>
    <col min="3098" max="3098" width="8.6640625" style="118" bestFit="1" customWidth="1"/>
    <col min="3099" max="3099" width="2.5546875" style="118" customWidth="1"/>
    <col min="3100" max="3328" width="9.109375" style="118"/>
    <col min="3329" max="3329" width="31.88671875" style="118" customWidth="1"/>
    <col min="3330" max="3330" width="7.88671875" style="118" customWidth="1"/>
    <col min="3331" max="3331" width="40.88671875" style="118" customWidth="1"/>
    <col min="3332" max="3332" width="10.109375" style="118" customWidth="1"/>
    <col min="3333" max="3333" width="8.109375" style="118" customWidth="1"/>
    <col min="3334" max="3334" width="11.88671875" style="118" customWidth="1"/>
    <col min="3335" max="3335" width="12" style="118" customWidth="1"/>
    <col min="3336" max="3352" width="12.5546875" style="118" customWidth="1"/>
    <col min="3353" max="3353" width="2.109375" style="118" customWidth="1"/>
    <col min="3354" max="3354" width="8.6640625" style="118" bestFit="1" customWidth="1"/>
    <col min="3355" max="3355" width="2.5546875" style="118" customWidth="1"/>
    <col min="3356" max="3584" width="9.109375" style="118"/>
    <col min="3585" max="3585" width="31.88671875" style="118" customWidth="1"/>
    <col min="3586" max="3586" width="7.88671875" style="118" customWidth="1"/>
    <col min="3587" max="3587" width="40.88671875" style="118" customWidth="1"/>
    <col min="3588" max="3588" width="10.109375" style="118" customWidth="1"/>
    <col min="3589" max="3589" width="8.109375" style="118" customWidth="1"/>
    <col min="3590" max="3590" width="11.88671875" style="118" customWidth="1"/>
    <col min="3591" max="3591" width="12" style="118" customWidth="1"/>
    <col min="3592" max="3608" width="12.5546875" style="118" customWidth="1"/>
    <col min="3609" max="3609" width="2.109375" style="118" customWidth="1"/>
    <col min="3610" max="3610" width="8.6640625" style="118" bestFit="1" customWidth="1"/>
    <col min="3611" max="3611" width="2.5546875" style="118" customWidth="1"/>
    <col min="3612" max="3840" width="9.109375" style="118"/>
    <col min="3841" max="3841" width="31.88671875" style="118" customWidth="1"/>
    <col min="3842" max="3842" width="7.88671875" style="118" customWidth="1"/>
    <col min="3843" max="3843" width="40.88671875" style="118" customWidth="1"/>
    <col min="3844" max="3844" width="10.109375" style="118" customWidth="1"/>
    <col min="3845" max="3845" width="8.109375" style="118" customWidth="1"/>
    <col min="3846" max="3846" width="11.88671875" style="118" customWidth="1"/>
    <col min="3847" max="3847" width="12" style="118" customWidth="1"/>
    <col min="3848" max="3864" width="12.5546875" style="118" customWidth="1"/>
    <col min="3865" max="3865" width="2.109375" style="118" customWidth="1"/>
    <col min="3866" max="3866" width="8.6640625" style="118" bestFit="1" customWidth="1"/>
    <col min="3867" max="3867" width="2.5546875" style="118" customWidth="1"/>
    <col min="3868" max="4096" width="9.109375" style="118"/>
    <col min="4097" max="4097" width="31.88671875" style="118" customWidth="1"/>
    <col min="4098" max="4098" width="7.88671875" style="118" customWidth="1"/>
    <col min="4099" max="4099" width="40.88671875" style="118" customWidth="1"/>
    <col min="4100" max="4100" width="10.109375" style="118" customWidth="1"/>
    <col min="4101" max="4101" width="8.109375" style="118" customWidth="1"/>
    <col min="4102" max="4102" width="11.88671875" style="118" customWidth="1"/>
    <col min="4103" max="4103" width="12" style="118" customWidth="1"/>
    <col min="4104" max="4120" width="12.5546875" style="118" customWidth="1"/>
    <col min="4121" max="4121" width="2.109375" style="118" customWidth="1"/>
    <col min="4122" max="4122" width="8.6640625" style="118" bestFit="1" customWidth="1"/>
    <col min="4123" max="4123" width="2.5546875" style="118" customWidth="1"/>
    <col min="4124" max="4352" width="9.109375" style="118"/>
    <col min="4353" max="4353" width="31.88671875" style="118" customWidth="1"/>
    <col min="4354" max="4354" width="7.88671875" style="118" customWidth="1"/>
    <col min="4355" max="4355" width="40.88671875" style="118" customWidth="1"/>
    <col min="4356" max="4356" width="10.109375" style="118" customWidth="1"/>
    <col min="4357" max="4357" width="8.109375" style="118" customWidth="1"/>
    <col min="4358" max="4358" width="11.88671875" style="118" customWidth="1"/>
    <col min="4359" max="4359" width="12" style="118" customWidth="1"/>
    <col min="4360" max="4376" width="12.5546875" style="118" customWidth="1"/>
    <col min="4377" max="4377" width="2.109375" style="118" customWidth="1"/>
    <col min="4378" max="4378" width="8.6640625" style="118" bestFit="1" customWidth="1"/>
    <col min="4379" max="4379" width="2.5546875" style="118" customWidth="1"/>
    <col min="4380" max="4608" width="9.109375" style="118"/>
    <col min="4609" max="4609" width="31.88671875" style="118" customWidth="1"/>
    <col min="4610" max="4610" width="7.88671875" style="118" customWidth="1"/>
    <col min="4611" max="4611" width="40.88671875" style="118" customWidth="1"/>
    <col min="4612" max="4612" width="10.109375" style="118" customWidth="1"/>
    <col min="4613" max="4613" width="8.109375" style="118" customWidth="1"/>
    <col min="4614" max="4614" width="11.88671875" style="118" customWidth="1"/>
    <col min="4615" max="4615" width="12" style="118" customWidth="1"/>
    <col min="4616" max="4632" width="12.5546875" style="118" customWidth="1"/>
    <col min="4633" max="4633" width="2.109375" style="118" customWidth="1"/>
    <col min="4634" max="4634" width="8.6640625" style="118" bestFit="1" customWidth="1"/>
    <col min="4635" max="4635" width="2.5546875" style="118" customWidth="1"/>
    <col min="4636" max="4864" width="9.109375" style="118"/>
    <col min="4865" max="4865" width="31.88671875" style="118" customWidth="1"/>
    <col min="4866" max="4866" width="7.88671875" style="118" customWidth="1"/>
    <col min="4867" max="4867" width="40.88671875" style="118" customWidth="1"/>
    <col min="4868" max="4868" width="10.109375" style="118" customWidth="1"/>
    <col min="4869" max="4869" width="8.109375" style="118" customWidth="1"/>
    <col min="4870" max="4870" width="11.88671875" style="118" customWidth="1"/>
    <col min="4871" max="4871" width="12" style="118" customWidth="1"/>
    <col min="4872" max="4888" width="12.5546875" style="118" customWidth="1"/>
    <col min="4889" max="4889" width="2.109375" style="118" customWidth="1"/>
    <col min="4890" max="4890" width="8.6640625" style="118" bestFit="1" customWidth="1"/>
    <col min="4891" max="4891" width="2.5546875" style="118" customWidth="1"/>
    <col min="4892" max="5120" width="9.109375" style="118"/>
    <col min="5121" max="5121" width="31.88671875" style="118" customWidth="1"/>
    <col min="5122" max="5122" width="7.88671875" style="118" customWidth="1"/>
    <col min="5123" max="5123" width="40.88671875" style="118" customWidth="1"/>
    <col min="5124" max="5124" width="10.109375" style="118" customWidth="1"/>
    <col min="5125" max="5125" width="8.109375" style="118" customWidth="1"/>
    <col min="5126" max="5126" width="11.88671875" style="118" customWidth="1"/>
    <col min="5127" max="5127" width="12" style="118" customWidth="1"/>
    <col min="5128" max="5144" width="12.5546875" style="118" customWidth="1"/>
    <col min="5145" max="5145" width="2.109375" style="118" customWidth="1"/>
    <col min="5146" max="5146" width="8.6640625" style="118" bestFit="1" customWidth="1"/>
    <col min="5147" max="5147" width="2.5546875" style="118" customWidth="1"/>
    <col min="5148" max="5376" width="9.109375" style="118"/>
    <col min="5377" max="5377" width="31.88671875" style="118" customWidth="1"/>
    <col min="5378" max="5378" width="7.88671875" style="118" customWidth="1"/>
    <col min="5379" max="5379" width="40.88671875" style="118" customWidth="1"/>
    <col min="5380" max="5380" width="10.109375" style="118" customWidth="1"/>
    <col min="5381" max="5381" width="8.109375" style="118" customWidth="1"/>
    <col min="5382" max="5382" width="11.88671875" style="118" customWidth="1"/>
    <col min="5383" max="5383" width="12" style="118" customWidth="1"/>
    <col min="5384" max="5400" width="12.5546875" style="118" customWidth="1"/>
    <col min="5401" max="5401" width="2.109375" style="118" customWidth="1"/>
    <col min="5402" max="5402" width="8.6640625" style="118" bestFit="1" customWidth="1"/>
    <col min="5403" max="5403" width="2.5546875" style="118" customWidth="1"/>
    <col min="5404" max="5632" width="9.109375" style="118"/>
    <col min="5633" max="5633" width="31.88671875" style="118" customWidth="1"/>
    <col min="5634" max="5634" width="7.88671875" style="118" customWidth="1"/>
    <col min="5635" max="5635" width="40.88671875" style="118" customWidth="1"/>
    <col min="5636" max="5636" width="10.109375" style="118" customWidth="1"/>
    <col min="5637" max="5637" width="8.109375" style="118" customWidth="1"/>
    <col min="5638" max="5638" width="11.88671875" style="118" customWidth="1"/>
    <col min="5639" max="5639" width="12" style="118" customWidth="1"/>
    <col min="5640" max="5656" width="12.5546875" style="118" customWidth="1"/>
    <col min="5657" max="5657" width="2.109375" style="118" customWidth="1"/>
    <col min="5658" max="5658" width="8.6640625" style="118" bestFit="1" customWidth="1"/>
    <col min="5659" max="5659" width="2.5546875" style="118" customWidth="1"/>
    <col min="5660" max="5888" width="9.109375" style="118"/>
    <col min="5889" max="5889" width="31.88671875" style="118" customWidth="1"/>
    <col min="5890" max="5890" width="7.88671875" style="118" customWidth="1"/>
    <col min="5891" max="5891" width="40.88671875" style="118" customWidth="1"/>
    <col min="5892" max="5892" width="10.109375" style="118" customWidth="1"/>
    <col min="5893" max="5893" width="8.109375" style="118" customWidth="1"/>
    <col min="5894" max="5894" width="11.88671875" style="118" customWidth="1"/>
    <col min="5895" max="5895" width="12" style="118" customWidth="1"/>
    <col min="5896" max="5912" width="12.5546875" style="118" customWidth="1"/>
    <col min="5913" max="5913" width="2.109375" style="118" customWidth="1"/>
    <col min="5914" max="5914" width="8.6640625" style="118" bestFit="1" customWidth="1"/>
    <col min="5915" max="5915" width="2.5546875" style="118" customWidth="1"/>
    <col min="5916" max="6144" width="9.109375" style="118"/>
    <col min="6145" max="6145" width="31.88671875" style="118" customWidth="1"/>
    <col min="6146" max="6146" width="7.88671875" style="118" customWidth="1"/>
    <col min="6147" max="6147" width="40.88671875" style="118" customWidth="1"/>
    <col min="6148" max="6148" width="10.109375" style="118" customWidth="1"/>
    <col min="6149" max="6149" width="8.109375" style="118" customWidth="1"/>
    <col min="6150" max="6150" width="11.88671875" style="118" customWidth="1"/>
    <col min="6151" max="6151" width="12" style="118" customWidth="1"/>
    <col min="6152" max="6168" width="12.5546875" style="118" customWidth="1"/>
    <col min="6169" max="6169" width="2.109375" style="118" customWidth="1"/>
    <col min="6170" max="6170" width="8.6640625" style="118" bestFit="1" customWidth="1"/>
    <col min="6171" max="6171" width="2.5546875" style="118" customWidth="1"/>
    <col min="6172" max="6400" width="9.109375" style="118"/>
    <col min="6401" max="6401" width="31.88671875" style="118" customWidth="1"/>
    <col min="6402" max="6402" width="7.88671875" style="118" customWidth="1"/>
    <col min="6403" max="6403" width="40.88671875" style="118" customWidth="1"/>
    <col min="6404" max="6404" width="10.109375" style="118" customWidth="1"/>
    <col min="6405" max="6405" width="8.109375" style="118" customWidth="1"/>
    <col min="6406" max="6406" width="11.88671875" style="118" customWidth="1"/>
    <col min="6407" max="6407" width="12" style="118" customWidth="1"/>
    <col min="6408" max="6424" width="12.5546875" style="118" customWidth="1"/>
    <col min="6425" max="6425" width="2.109375" style="118" customWidth="1"/>
    <col min="6426" max="6426" width="8.6640625" style="118" bestFit="1" customWidth="1"/>
    <col min="6427" max="6427" width="2.5546875" style="118" customWidth="1"/>
    <col min="6428" max="6656" width="9.109375" style="118"/>
    <col min="6657" max="6657" width="31.88671875" style="118" customWidth="1"/>
    <col min="6658" max="6658" width="7.88671875" style="118" customWidth="1"/>
    <col min="6659" max="6659" width="40.88671875" style="118" customWidth="1"/>
    <col min="6660" max="6660" width="10.109375" style="118" customWidth="1"/>
    <col min="6661" max="6661" width="8.109375" style="118" customWidth="1"/>
    <col min="6662" max="6662" width="11.88671875" style="118" customWidth="1"/>
    <col min="6663" max="6663" width="12" style="118" customWidth="1"/>
    <col min="6664" max="6680" width="12.5546875" style="118" customWidth="1"/>
    <col min="6681" max="6681" width="2.109375" style="118" customWidth="1"/>
    <col min="6682" max="6682" width="8.6640625" style="118" bestFit="1" customWidth="1"/>
    <col min="6683" max="6683" width="2.5546875" style="118" customWidth="1"/>
    <col min="6684" max="6912" width="9.109375" style="118"/>
    <col min="6913" max="6913" width="31.88671875" style="118" customWidth="1"/>
    <col min="6914" max="6914" width="7.88671875" style="118" customWidth="1"/>
    <col min="6915" max="6915" width="40.88671875" style="118" customWidth="1"/>
    <col min="6916" max="6916" width="10.109375" style="118" customWidth="1"/>
    <col min="6917" max="6917" width="8.109375" style="118" customWidth="1"/>
    <col min="6918" max="6918" width="11.88671875" style="118" customWidth="1"/>
    <col min="6919" max="6919" width="12" style="118" customWidth="1"/>
    <col min="6920" max="6936" width="12.5546875" style="118" customWidth="1"/>
    <col min="6937" max="6937" width="2.109375" style="118" customWidth="1"/>
    <col min="6938" max="6938" width="8.6640625" style="118" bestFit="1" customWidth="1"/>
    <col min="6939" max="6939" width="2.5546875" style="118" customWidth="1"/>
    <col min="6940" max="7168" width="9.109375" style="118"/>
    <col min="7169" max="7169" width="31.88671875" style="118" customWidth="1"/>
    <col min="7170" max="7170" width="7.88671875" style="118" customWidth="1"/>
    <col min="7171" max="7171" width="40.88671875" style="118" customWidth="1"/>
    <col min="7172" max="7172" width="10.109375" style="118" customWidth="1"/>
    <col min="7173" max="7173" width="8.109375" style="118" customWidth="1"/>
    <col min="7174" max="7174" width="11.88671875" style="118" customWidth="1"/>
    <col min="7175" max="7175" width="12" style="118" customWidth="1"/>
    <col min="7176" max="7192" width="12.5546875" style="118" customWidth="1"/>
    <col min="7193" max="7193" width="2.109375" style="118" customWidth="1"/>
    <col min="7194" max="7194" width="8.6640625" style="118" bestFit="1" customWidth="1"/>
    <col min="7195" max="7195" width="2.5546875" style="118" customWidth="1"/>
    <col min="7196" max="7424" width="9.109375" style="118"/>
    <col min="7425" max="7425" width="31.88671875" style="118" customWidth="1"/>
    <col min="7426" max="7426" width="7.88671875" style="118" customWidth="1"/>
    <col min="7427" max="7427" width="40.88671875" style="118" customWidth="1"/>
    <col min="7428" max="7428" width="10.109375" style="118" customWidth="1"/>
    <col min="7429" max="7429" width="8.109375" style="118" customWidth="1"/>
    <col min="7430" max="7430" width="11.88671875" style="118" customWidth="1"/>
    <col min="7431" max="7431" width="12" style="118" customWidth="1"/>
    <col min="7432" max="7448" width="12.5546875" style="118" customWidth="1"/>
    <col min="7449" max="7449" width="2.109375" style="118" customWidth="1"/>
    <col min="7450" max="7450" width="8.6640625" style="118" bestFit="1" customWidth="1"/>
    <col min="7451" max="7451" width="2.5546875" style="118" customWidth="1"/>
    <col min="7452" max="7680" width="9.109375" style="118"/>
    <col min="7681" max="7681" width="31.88671875" style="118" customWidth="1"/>
    <col min="7682" max="7682" width="7.88671875" style="118" customWidth="1"/>
    <col min="7683" max="7683" width="40.88671875" style="118" customWidth="1"/>
    <col min="7684" max="7684" width="10.109375" style="118" customWidth="1"/>
    <col min="7685" max="7685" width="8.109375" style="118" customWidth="1"/>
    <col min="7686" max="7686" width="11.88671875" style="118" customWidth="1"/>
    <col min="7687" max="7687" width="12" style="118" customWidth="1"/>
    <col min="7688" max="7704" width="12.5546875" style="118" customWidth="1"/>
    <col min="7705" max="7705" width="2.109375" style="118" customWidth="1"/>
    <col min="7706" max="7706" width="8.6640625" style="118" bestFit="1" customWidth="1"/>
    <col min="7707" max="7707" width="2.5546875" style="118" customWidth="1"/>
    <col min="7708" max="7936" width="9.109375" style="118"/>
    <col min="7937" max="7937" width="31.88671875" style="118" customWidth="1"/>
    <col min="7938" max="7938" width="7.88671875" style="118" customWidth="1"/>
    <col min="7939" max="7939" width="40.88671875" style="118" customWidth="1"/>
    <col min="7940" max="7940" width="10.109375" style="118" customWidth="1"/>
    <col min="7941" max="7941" width="8.109375" style="118" customWidth="1"/>
    <col min="7942" max="7942" width="11.88671875" style="118" customWidth="1"/>
    <col min="7943" max="7943" width="12" style="118" customWidth="1"/>
    <col min="7944" max="7960" width="12.5546875" style="118" customWidth="1"/>
    <col min="7961" max="7961" width="2.109375" style="118" customWidth="1"/>
    <col min="7962" max="7962" width="8.6640625" style="118" bestFit="1" customWidth="1"/>
    <col min="7963" max="7963" width="2.5546875" style="118" customWidth="1"/>
    <col min="7964" max="8192" width="9.109375" style="118"/>
    <col min="8193" max="8193" width="31.88671875" style="118" customWidth="1"/>
    <col min="8194" max="8194" width="7.88671875" style="118" customWidth="1"/>
    <col min="8195" max="8195" width="40.88671875" style="118" customWidth="1"/>
    <col min="8196" max="8196" width="10.109375" style="118" customWidth="1"/>
    <col min="8197" max="8197" width="8.109375" style="118" customWidth="1"/>
    <col min="8198" max="8198" width="11.88671875" style="118" customWidth="1"/>
    <col min="8199" max="8199" width="12" style="118" customWidth="1"/>
    <col min="8200" max="8216" width="12.5546875" style="118" customWidth="1"/>
    <col min="8217" max="8217" width="2.109375" style="118" customWidth="1"/>
    <col min="8218" max="8218" width="8.6640625" style="118" bestFit="1" customWidth="1"/>
    <col min="8219" max="8219" width="2.5546875" style="118" customWidth="1"/>
    <col min="8220" max="8448" width="9.109375" style="118"/>
    <col min="8449" max="8449" width="31.88671875" style="118" customWidth="1"/>
    <col min="8450" max="8450" width="7.88671875" style="118" customWidth="1"/>
    <col min="8451" max="8451" width="40.88671875" style="118" customWidth="1"/>
    <col min="8452" max="8452" width="10.109375" style="118" customWidth="1"/>
    <col min="8453" max="8453" width="8.109375" style="118" customWidth="1"/>
    <col min="8454" max="8454" width="11.88671875" style="118" customWidth="1"/>
    <col min="8455" max="8455" width="12" style="118" customWidth="1"/>
    <col min="8456" max="8472" width="12.5546875" style="118" customWidth="1"/>
    <col min="8473" max="8473" width="2.109375" style="118" customWidth="1"/>
    <col min="8474" max="8474" width="8.6640625" style="118" bestFit="1" customWidth="1"/>
    <col min="8475" max="8475" width="2.5546875" style="118" customWidth="1"/>
    <col min="8476" max="8704" width="9.109375" style="118"/>
    <col min="8705" max="8705" width="31.88671875" style="118" customWidth="1"/>
    <col min="8706" max="8706" width="7.88671875" style="118" customWidth="1"/>
    <col min="8707" max="8707" width="40.88671875" style="118" customWidth="1"/>
    <col min="8708" max="8708" width="10.109375" style="118" customWidth="1"/>
    <col min="8709" max="8709" width="8.109375" style="118" customWidth="1"/>
    <col min="8710" max="8710" width="11.88671875" style="118" customWidth="1"/>
    <col min="8711" max="8711" width="12" style="118" customWidth="1"/>
    <col min="8712" max="8728" width="12.5546875" style="118" customWidth="1"/>
    <col min="8729" max="8729" width="2.109375" style="118" customWidth="1"/>
    <col min="8730" max="8730" width="8.6640625" style="118" bestFit="1" customWidth="1"/>
    <col min="8731" max="8731" width="2.5546875" style="118" customWidth="1"/>
    <col min="8732" max="8960" width="9.109375" style="118"/>
    <col min="8961" max="8961" width="31.88671875" style="118" customWidth="1"/>
    <col min="8962" max="8962" width="7.88671875" style="118" customWidth="1"/>
    <col min="8963" max="8963" width="40.88671875" style="118" customWidth="1"/>
    <col min="8964" max="8964" width="10.109375" style="118" customWidth="1"/>
    <col min="8965" max="8965" width="8.109375" style="118" customWidth="1"/>
    <col min="8966" max="8966" width="11.88671875" style="118" customWidth="1"/>
    <col min="8967" max="8967" width="12" style="118" customWidth="1"/>
    <col min="8968" max="8984" width="12.5546875" style="118" customWidth="1"/>
    <col min="8985" max="8985" width="2.109375" style="118" customWidth="1"/>
    <col min="8986" max="8986" width="8.6640625" style="118" bestFit="1" customWidth="1"/>
    <col min="8987" max="8987" width="2.5546875" style="118" customWidth="1"/>
    <col min="8988" max="9216" width="9.109375" style="118"/>
    <col min="9217" max="9217" width="31.88671875" style="118" customWidth="1"/>
    <col min="9218" max="9218" width="7.88671875" style="118" customWidth="1"/>
    <col min="9219" max="9219" width="40.88671875" style="118" customWidth="1"/>
    <col min="9220" max="9220" width="10.109375" style="118" customWidth="1"/>
    <col min="9221" max="9221" width="8.109375" style="118" customWidth="1"/>
    <col min="9222" max="9222" width="11.88671875" style="118" customWidth="1"/>
    <col min="9223" max="9223" width="12" style="118" customWidth="1"/>
    <col min="9224" max="9240" width="12.5546875" style="118" customWidth="1"/>
    <col min="9241" max="9241" width="2.109375" style="118" customWidth="1"/>
    <col min="9242" max="9242" width="8.6640625" style="118" bestFit="1" customWidth="1"/>
    <col min="9243" max="9243" width="2.5546875" style="118" customWidth="1"/>
    <col min="9244" max="9472" width="9.109375" style="118"/>
    <col min="9473" max="9473" width="31.88671875" style="118" customWidth="1"/>
    <col min="9474" max="9474" width="7.88671875" style="118" customWidth="1"/>
    <col min="9475" max="9475" width="40.88671875" style="118" customWidth="1"/>
    <col min="9476" max="9476" width="10.109375" style="118" customWidth="1"/>
    <col min="9477" max="9477" width="8.109375" style="118" customWidth="1"/>
    <col min="9478" max="9478" width="11.88671875" style="118" customWidth="1"/>
    <col min="9479" max="9479" width="12" style="118" customWidth="1"/>
    <col min="9480" max="9496" width="12.5546875" style="118" customWidth="1"/>
    <col min="9497" max="9497" width="2.109375" style="118" customWidth="1"/>
    <col min="9498" max="9498" width="8.6640625" style="118" bestFit="1" customWidth="1"/>
    <col min="9499" max="9499" width="2.5546875" style="118" customWidth="1"/>
    <col min="9500" max="9728" width="9.109375" style="118"/>
    <col min="9729" max="9729" width="31.88671875" style="118" customWidth="1"/>
    <col min="9730" max="9730" width="7.88671875" style="118" customWidth="1"/>
    <col min="9731" max="9731" width="40.88671875" style="118" customWidth="1"/>
    <col min="9732" max="9732" width="10.109375" style="118" customWidth="1"/>
    <col min="9733" max="9733" width="8.109375" style="118" customWidth="1"/>
    <col min="9734" max="9734" width="11.88671875" style="118" customWidth="1"/>
    <col min="9735" max="9735" width="12" style="118" customWidth="1"/>
    <col min="9736" max="9752" width="12.5546875" style="118" customWidth="1"/>
    <col min="9753" max="9753" width="2.109375" style="118" customWidth="1"/>
    <col min="9754" max="9754" width="8.6640625" style="118" bestFit="1" customWidth="1"/>
    <col min="9755" max="9755" width="2.5546875" style="118" customWidth="1"/>
    <col min="9756" max="9984" width="9.109375" style="118"/>
    <col min="9985" max="9985" width="31.88671875" style="118" customWidth="1"/>
    <col min="9986" max="9986" width="7.88671875" style="118" customWidth="1"/>
    <col min="9987" max="9987" width="40.88671875" style="118" customWidth="1"/>
    <col min="9988" max="9988" width="10.109375" style="118" customWidth="1"/>
    <col min="9989" max="9989" width="8.109375" style="118" customWidth="1"/>
    <col min="9990" max="9990" width="11.88671875" style="118" customWidth="1"/>
    <col min="9991" max="9991" width="12" style="118" customWidth="1"/>
    <col min="9992" max="10008" width="12.5546875" style="118" customWidth="1"/>
    <col min="10009" max="10009" width="2.109375" style="118" customWidth="1"/>
    <col min="10010" max="10010" width="8.6640625" style="118" bestFit="1" customWidth="1"/>
    <col min="10011" max="10011" width="2.5546875" style="118" customWidth="1"/>
    <col min="10012" max="10240" width="9.109375" style="118"/>
    <col min="10241" max="10241" width="31.88671875" style="118" customWidth="1"/>
    <col min="10242" max="10242" width="7.88671875" style="118" customWidth="1"/>
    <col min="10243" max="10243" width="40.88671875" style="118" customWidth="1"/>
    <col min="10244" max="10244" width="10.109375" style="118" customWidth="1"/>
    <col min="10245" max="10245" width="8.109375" style="118" customWidth="1"/>
    <col min="10246" max="10246" width="11.88671875" style="118" customWidth="1"/>
    <col min="10247" max="10247" width="12" style="118" customWidth="1"/>
    <col min="10248" max="10264" width="12.5546875" style="118" customWidth="1"/>
    <col min="10265" max="10265" width="2.109375" style="118" customWidth="1"/>
    <col min="10266" max="10266" width="8.6640625" style="118" bestFit="1" customWidth="1"/>
    <col min="10267" max="10267" width="2.5546875" style="118" customWidth="1"/>
    <col min="10268" max="10496" width="9.109375" style="118"/>
    <col min="10497" max="10497" width="31.88671875" style="118" customWidth="1"/>
    <col min="10498" max="10498" width="7.88671875" style="118" customWidth="1"/>
    <col min="10499" max="10499" width="40.88671875" style="118" customWidth="1"/>
    <col min="10500" max="10500" width="10.109375" style="118" customWidth="1"/>
    <col min="10501" max="10501" width="8.109375" style="118" customWidth="1"/>
    <col min="10502" max="10502" width="11.88671875" style="118" customWidth="1"/>
    <col min="10503" max="10503" width="12" style="118" customWidth="1"/>
    <col min="10504" max="10520" width="12.5546875" style="118" customWidth="1"/>
    <col min="10521" max="10521" width="2.109375" style="118" customWidth="1"/>
    <col min="10522" max="10522" width="8.6640625" style="118" bestFit="1" customWidth="1"/>
    <col min="10523" max="10523" width="2.5546875" style="118" customWidth="1"/>
    <col min="10524" max="10752" width="9.109375" style="118"/>
    <col min="10753" max="10753" width="31.88671875" style="118" customWidth="1"/>
    <col min="10754" max="10754" width="7.88671875" style="118" customWidth="1"/>
    <col min="10755" max="10755" width="40.88671875" style="118" customWidth="1"/>
    <col min="10756" max="10756" width="10.109375" style="118" customWidth="1"/>
    <col min="10757" max="10757" width="8.109375" style="118" customWidth="1"/>
    <col min="10758" max="10758" width="11.88671875" style="118" customWidth="1"/>
    <col min="10759" max="10759" width="12" style="118" customWidth="1"/>
    <col min="10760" max="10776" width="12.5546875" style="118" customWidth="1"/>
    <col min="10777" max="10777" width="2.109375" style="118" customWidth="1"/>
    <col min="10778" max="10778" width="8.6640625" style="118" bestFit="1" customWidth="1"/>
    <col min="10779" max="10779" width="2.5546875" style="118" customWidth="1"/>
    <col min="10780" max="11008" width="9.109375" style="118"/>
    <col min="11009" max="11009" width="31.88671875" style="118" customWidth="1"/>
    <col min="11010" max="11010" width="7.88671875" style="118" customWidth="1"/>
    <col min="11011" max="11011" width="40.88671875" style="118" customWidth="1"/>
    <col min="11012" max="11012" width="10.109375" style="118" customWidth="1"/>
    <col min="11013" max="11013" width="8.109375" style="118" customWidth="1"/>
    <col min="11014" max="11014" width="11.88671875" style="118" customWidth="1"/>
    <col min="11015" max="11015" width="12" style="118" customWidth="1"/>
    <col min="11016" max="11032" width="12.5546875" style="118" customWidth="1"/>
    <col min="11033" max="11033" width="2.109375" style="118" customWidth="1"/>
    <col min="11034" max="11034" width="8.6640625" style="118" bestFit="1" customWidth="1"/>
    <col min="11035" max="11035" width="2.5546875" style="118" customWidth="1"/>
    <col min="11036" max="11264" width="9.109375" style="118"/>
    <col min="11265" max="11265" width="31.88671875" style="118" customWidth="1"/>
    <col min="11266" max="11266" width="7.88671875" style="118" customWidth="1"/>
    <col min="11267" max="11267" width="40.88671875" style="118" customWidth="1"/>
    <col min="11268" max="11268" width="10.109375" style="118" customWidth="1"/>
    <col min="11269" max="11269" width="8.109375" style="118" customWidth="1"/>
    <col min="11270" max="11270" width="11.88671875" style="118" customWidth="1"/>
    <col min="11271" max="11271" width="12" style="118" customWidth="1"/>
    <col min="11272" max="11288" width="12.5546875" style="118" customWidth="1"/>
    <col min="11289" max="11289" width="2.109375" style="118" customWidth="1"/>
    <col min="11290" max="11290" width="8.6640625" style="118" bestFit="1" customWidth="1"/>
    <col min="11291" max="11291" width="2.5546875" style="118" customWidth="1"/>
    <col min="11292" max="11520" width="9.109375" style="118"/>
    <col min="11521" max="11521" width="31.88671875" style="118" customWidth="1"/>
    <col min="11522" max="11522" width="7.88671875" style="118" customWidth="1"/>
    <col min="11523" max="11523" width="40.88671875" style="118" customWidth="1"/>
    <col min="11524" max="11524" width="10.109375" style="118" customWidth="1"/>
    <col min="11525" max="11525" width="8.109375" style="118" customWidth="1"/>
    <col min="11526" max="11526" width="11.88671875" style="118" customWidth="1"/>
    <col min="11527" max="11527" width="12" style="118" customWidth="1"/>
    <col min="11528" max="11544" width="12.5546875" style="118" customWidth="1"/>
    <col min="11545" max="11545" width="2.109375" style="118" customWidth="1"/>
    <col min="11546" max="11546" width="8.6640625" style="118" bestFit="1" customWidth="1"/>
    <col min="11547" max="11547" width="2.5546875" style="118" customWidth="1"/>
    <col min="11548" max="11776" width="9.109375" style="118"/>
    <col min="11777" max="11777" width="31.88671875" style="118" customWidth="1"/>
    <col min="11778" max="11778" width="7.88671875" style="118" customWidth="1"/>
    <col min="11779" max="11779" width="40.88671875" style="118" customWidth="1"/>
    <col min="11780" max="11780" width="10.109375" style="118" customWidth="1"/>
    <col min="11781" max="11781" width="8.109375" style="118" customWidth="1"/>
    <col min="11782" max="11782" width="11.88671875" style="118" customWidth="1"/>
    <col min="11783" max="11783" width="12" style="118" customWidth="1"/>
    <col min="11784" max="11800" width="12.5546875" style="118" customWidth="1"/>
    <col min="11801" max="11801" width="2.109375" style="118" customWidth="1"/>
    <col min="11802" max="11802" width="8.6640625" style="118" bestFit="1" customWidth="1"/>
    <col min="11803" max="11803" width="2.5546875" style="118" customWidth="1"/>
    <col min="11804" max="12032" width="9.109375" style="118"/>
    <col min="12033" max="12033" width="31.88671875" style="118" customWidth="1"/>
    <col min="12034" max="12034" width="7.88671875" style="118" customWidth="1"/>
    <col min="12035" max="12035" width="40.88671875" style="118" customWidth="1"/>
    <col min="12036" max="12036" width="10.109375" style="118" customWidth="1"/>
    <col min="12037" max="12037" width="8.109375" style="118" customWidth="1"/>
    <col min="12038" max="12038" width="11.88671875" style="118" customWidth="1"/>
    <col min="12039" max="12039" width="12" style="118" customWidth="1"/>
    <col min="12040" max="12056" width="12.5546875" style="118" customWidth="1"/>
    <col min="12057" max="12057" width="2.109375" style="118" customWidth="1"/>
    <col min="12058" max="12058" width="8.6640625" style="118" bestFit="1" customWidth="1"/>
    <col min="12059" max="12059" width="2.5546875" style="118" customWidth="1"/>
    <col min="12060" max="12288" width="9.109375" style="118"/>
    <col min="12289" max="12289" width="31.88671875" style="118" customWidth="1"/>
    <col min="12290" max="12290" width="7.88671875" style="118" customWidth="1"/>
    <col min="12291" max="12291" width="40.88671875" style="118" customWidth="1"/>
    <col min="12292" max="12292" width="10.109375" style="118" customWidth="1"/>
    <col min="12293" max="12293" width="8.109375" style="118" customWidth="1"/>
    <col min="12294" max="12294" width="11.88671875" style="118" customWidth="1"/>
    <col min="12295" max="12295" width="12" style="118" customWidth="1"/>
    <col min="12296" max="12312" width="12.5546875" style="118" customWidth="1"/>
    <col min="12313" max="12313" width="2.109375" style="118" customWidth="1"/>
    <col min="12314" max="12314" width="8.6640625" style="118" bestFit="1" customWidth="1"/>
    <col min="12315" max="12315" width="2.5546875" style="118" customWidth="1"/>
    <col min="12316" max="12544" width="9.109375" style="118"/>
    <col min="12545" max="12545" width="31.88671875" style="118" customWidth="1"/>
    <col min="12546" max="12546" width="7.88671875" style="118" customWidth="1"/>
    <col min="12547" max="12547" width="40.88671875" style="118" customWidth="1"/>
    <col min="12548" max="12548" width="10.109375" style="118" customWidth="1"/>
    <col min="12549" max="12549" width="8.109375" style="118" customWidth="1"/>
    <col min="12550" max="12550" width="11.88671875" style="118" customWidth="1"/>
    <col min="12551" max="12551" width="12" style="118" customWidth="1"/>
    <col min="12552" max="12568" width="12.5546875" style="118" customWidth="1"/>
    <col min="12569" max="12569" width="2.109375" style="118" customWidth="1"/>
    <col min="12570" max="12570" width="8.6640625" style="118" bestFit="1" customWidth="1"/>
    <col min="12571" max="12571" width="2.5546875" style="118" customWidth="1"/>
    <col min="12572" max="12800" width="9.109375" style="118"/>
    <col min="12801" max="12801" width="31.88671875" style="118" customWidth="1"/>
    <col min="12802" max="12802" width="7.88671875" style="118" customWidth="1"/>
    <col min="12803" max="12803" width="40.88671875" style="118" customWidth="1"/>
    <col min="12804" max="12804" width="10.109375" style="118" customWidth="1"/>
    <col min="12805" max="12805" width="8.109375" style="118" customWidth="1"/>
    <col min="12806" max="12806" width="11.88671875" style="118" customWidth="1"/>
    <col min="12807" max="12807" width="12" style="118" customWidth="1"/>
    <col min="12808" max="12824" width="12.5546875" style="118" customWidth="1"/>
    <col min="12825" max="12825" width="2.109375" style="118" customWidth="1"/>
    <col min="12826" max="12826" width="8.6640625" style="118" bestFit="1" customWidth="1"/>
    <col min="12827" max="12827" width="2.5546875" style="118" customWidth="1"/>
    <col min="12828" max="13056" width="9.109375" style="118"/>
    <col min="13057" max="13057" width="31.88671875" style="118" customWidth="1"/>
    <col min="13058" max="13058" width="7.88671875" style="118" customWidth="1"/>
    <col min="13059" max="13059" width="40.88671875" style="118" customWidth="1"/>
    <col min="13060" max="13060" width="10.109375" style="118" customWidth="1"/>
    <col min="13061" max="13061" width="8.109375" style="118" customWidth="1"/>
    <col min="13062" max="13062" width="11.88671875" style="118" customWidth="1"/>
    <col min="13063" max="13063" width="12" style="118" customWidth="1"/>
    <col min="13064" max="13080" width="12.5546875" style="118" customWidth="1"/>
    <col min="13081" max="13081" width="2.109375" style="118" customWidth="1"/>
    <col min="13082" max="13082" width="8.6640625" style="118" bestFit="1" customWidth="1"/>
    <col min="13083" max="13083" width="2.5546875" style="118" customWidth="1"/>
    <col min="13084" max="13312" width="9.109375" style="118"/>
    <col min="13313" max="13313" width="31.88671875" style="118" customWidth="1"/>
    <col min="13314" max="13314" width="7.88671875" style="118" customWidth="1"/>
    <col min="13315" max="13315" width="40.88671875" style="118" customWidth="1"/>
    <col min="13316" max="13316" width="10.109375" style="118" customWidth="1"/>
    <col min="13317" max="13317" width="8.109375" style="118" customWidth="1"/>
    <col min="13318" max="13318" width="11.88671875" style="118" customWidth="1"/>
    <col min="13319" max="13319" width="12" style="118" customWidth="1"/>
    <col min="13320" max="13336" width="12.5546875" style="118" customWidth="1"/>
    <col min="13337" max="13337" width="2.109375" style="118" customWidth="1"/>
    <col min="13338" max="13338" width="8.6640625" style="118" bestFit="1" customWidth="1"/>
    <col min="13339" max="13339" width="2.5546875" style="118" customWidth="1"/>
    <col min="13340" max="13568" width="9.109375" style="118"/>
    <col min="13569" max="13569" width="31.88671875" style="118" customWidth="1"/>
    <col min="13570" max="13570" width="7.88671875" style="118" customWidth="1"/>
    <col min="13571" max="13571" width="40.88671875" style="118" customWidth="1"/>
    <col min="13572" max="13572" width="10.109375" style="118" customWidth="1"/>
    <col min="13573" max="13573" width="8.109375" style="118" customWidth="1"/>
    <col min="13574" max="13574" width="11.88671875" style="118" customWidth="1"/>
    <col min="13575" max="13575" width="12" style="118" customWidth="1"/>
    <col min="13576" max="13592" width="12.5546875" style="118" customWidth="1"/>
    <col min="13593" max="13593" width="2.109375" style="118" customWidth="1"/>
    <col min="13594" max="13594" width="8.6640625" style="118" bestFit="1" customWidth="1"/>
    <col min="13595" max="13595" width="2.5546875" style="118" customWidth="1"/>
    <col min="13596" max="13824" width="9.109375" style="118"/>
    <col min="13825" max="13825" width="31.88671875" style="118" customWidth="1"/>
    <col min="13826" max="13826" width="7.88671875" style="118" customWidth="1"/>
    <col min="13827" max="13827" width="40.88671875" style="118" customWidth="1"/>
    <col min="13828" max="13828" width="10.109375" style="118" customWidth="1"/>
    <col min="13829" max="13829" width="8.109375" style="118" customWidth="1"/>
    <col min="13830" max="13830" width="11.88671875" style="118" customWidth="1"/>
    <col min="13831" max="13831" width="12" style="118" customWidth="1"/>
    <col min="13832" max="13848" width="12.5546875" style="118" customWidth="1"/>
    <col min="13849" max="13849" width="2.109375" style="118" customWidth="1"/>
    <col min="13850" max="13850" width="8.6640625" style="118" bestFit="1" customWidth="1"/>
    <col min="13851" max="13851" width="2.5546875" style="118" customWidth="1"/>
    <col min="13852" max="14080" width="9.109375" style="118"/>
    <col min="14081" max="14081" width="31.88671875" style="118" customWidth="1"/>
    <col min="14082" max="14082" width="7.88671875" style="118" customWidth="1"/>
    <col min="14083" max="14083" width="40.88671875" style="118" customWidth="1"/>
    <col min="14084" max="14084" width="10.109375" style="118" customWidth="1"/>
    <col min="14085" max="14085" width="8.109375" style="118" customWidth="1"/>
    <col min="14086" max="14086" width="11.88671875" style="118" customWidth="1"/>
    <col min="14087" max="14087" width="12" style="118" customWidth="1"/>
    <col min="14088" max="14104" width="12.5546875" style="118" customWidth="1"/>
    <col min="14105" max="14105" width="2.109375" style="118" customWidth="1"/>
    <col min="14106" max="14106" width="8.6640625" style="118" bestFit="1" customWidth="1"/>
    <col min="14107" max="14107" width="2.5546875" style="118" customWidth="1"/>
    <col min="14108" max="14336" width="9.109375" style="118"/>
    <col min="14337" max="14337" width="31.88671875" style="118" customWidth="1"/>
    <col min="14338" max="14338" width="7.88671875" style="118" customWidth="1"/>
    <col min="14339" max="14339" width="40.88671875" style="118" customWidth="1"/>
    <col min="14340" max="14340" width="10.109375" style="118" customWidth="1"/>
    <col min="14341" max="14341" width="8.109375" style="118" customWidth="1"/>
    <col min="14342" max="14342" width="11.88671875" style="118" customWidth="1"/>
    <col min="14343" max="14343" width="12" style="118" customWidth="1"/>
    <col min="14344" max="14360" width="12.5546875" style="118" customWidth="1"/>
    <col min="14361" max="14361" width="2.109375" style="118" customWidth="1"/>
    <col min="14362" max="14362" width="8.6640625" style="118" bestFit="1" customWidth="1"/>
    <col min="14363" max="14363" width="2.5546875" style="118" customWidth="1"/>
    <col min="14364" max="14592" width="9.109375" style="118"/>
    <col min="14593" max="14593" width="31.88671875" style="118" customWidth="1"/>
    <col min="14594" max="14594" width="7.88671875" style="118" customWidth="1"/>
    <col min="14595" max="14595" width="40.88671875" style="118" customWidth="1"/>
    <col min="14596" max="14596" width="10.109375" style="118" customWidth="1"/>
    <col min="14597" max="14597" width="8.109375" style="118" customWidth="1"/>
    <col min="14598" max="14598" width="11.88671875" style="118" customWidth="1"/>
    <col min="14599" max="14599" width="12" style="118" customWidth="1"/>
    <col min="14600" max="14616" width="12.5546875" style="118" customWidth="1"/>
    <col min="14617" max="14617" width="2.109375" style="118" customWidth="1"/>
    <col min="14618" max="14618" width="8.6640625" style="118" bestFit="1" customWidth="1"/>
    <col min="14619" max="14619" width="2.5546875" style="118" customWidth="1"/>
    <col min="14620" max="14848" width="9.109375" style="118"/>
    <col min="14849" max="14849" width="31.88671875" style="118" customWidth="1"/>
    <col min="14850" max="14850" width="7.88671875" style="118" customWidth="1"/>
    <col min="14851" max="14851" width="40.88671875" style="118" customWidth="1"/>
    <col min="14852" max="14852" width="10.109375" style="118" customWidth="1"/>
    <col min="14853" max="14853" width="8.109375" style="118" customWidth="1"/>
    <col min="14854" max="14854" width="11.88671875" style="118" customWidth="1"/>
    <col min="14855" max="14855" width="12" style="118" customWidth="1"/>
    <col min="14856" max="14872" width="12.5546875" style="118" customWidth="1"/>
    <col min="14873" max="14873" width="2.109375" style="118" customWidth="1"/>
    <col min="14874" max="14874" width="8.6640625" style="118" bestFit="1" customWidth="1"/>
    <col min="14875" max="14875" width="2.5546875" style="118" customWidth="1"/>
    <col min="14876" max="15104" width="9.109375" style="118"/>
    <col min="15105" max="15105" width="31.88671875" style="118" customWidth="1"/>
    <col min="15106" max="15106" width="7.88671875" style="118" customWidth="1"/>
    <col min="15107" max="15107" width="40.88671875" style="118" customWidth="1"/>
    <col min="15108" max="15108" width="10.109375" style="118" customWidth="1"/>
    <col min="15109" max="15109" width="8.109375" style="118" customWidth="1"/>
    <col min="15110" max="15110" width="11.88671875" style="118" customWidth="1"/>
    <col min="15111" max="15111" width="12" style="118" customWidth="1"/>
    <col min="15112" max="15128" width="12.5546875" style="118" customWidth="1"/>
    <col min="15129" max="15129" width="2.109375" style="118" customWidth="1"/>
    <col min="15130" max="15130" width="8.6640625" style="118" bestFit="1" customWidth="1"/>
    <col min="15131" max="15131" width="2.5546875" style="118" customWidth="1"/>
    <col min="15132" max="15360" width="9.109375" style="118"/>
    <col min="15361" max="15361" width="31.88671875" style="118" customWidth="1"/>
    <col min="15362" max="15362" width="7.88671875" style="118" customWidth="1"/>
    <col min="15363" max="15363" width="40.88671875" style="118" customWidth="1"/>
    <col min="15364" max="15364" width="10.109375" style="118" customWidth="1"/>
    <col min="15365" max="15365" width="8.109375" style="118" customWidth="1"/>
    <col min="15366" max="15366" width="11.88671875" style="118" customWidth="1"/>
    <col min="15367" max="15367" width="12" style="118" customWidth="1"/>
    <col min="15368" max="15384" width="12.5546875" style="118" customWidth="1"/>
    <col min="15385" max="15385" width="2.109375" style="118" customWidth="1"/>
    <col min="15386" max="15386" width="8.6640625" style="118" bestFit="1" customWidth="1"/>
    <col min="15387" max="15387" width="2.5546875" style="118" customWidth="1"/>
    <col min="15388" max="15616" width="9.109375" style="118"/>
    <col min="15617" max="15617" width="31.88671875" style="118" customWidth="1"/>
    <col min="15618" max="15618" width="7.88671875" style="118" customWidth="1"/>
    <col min="15619" max="15619" width="40.88671875" style="118" customWidth="1"/>
    <col min="15620" max="15620" width="10.109375" style="118" customWidth="1"/>
    <col min="15621" max="15621" width="8.109375" style="118" customWidth="1"/>
    <col min="15622" max="15622" width="11.88671875" style="118" customWidth="1"/>
    <col min="15623" max="15623" width="12" style="118" customWidth="1"/>
    <col min="15624" max="15640" width="12.5546875" style="118" customWidth="1"/>
    <col min="15641" max="15641" width="2.109375" style="118" customWidth="1"/>
    <col min="15642" max="15642" width="8.6640625" style="118" bestFit="1" customWidth="1"/>
    <col min="15643" max="15643" width="2.5546875" style="118" customWidth="1"/>
    <col min="15644" max="15872" width="9.109375" style="118"/>
    <col min="15873" max="15873" width="31.88671875" style="118" customWidth="1"/>
    <col min="15874" max="15874" width="7.88671875" style="118" customWidth="1"/>
    <col min="15875" max="15875" width="40.88671875" style="118" customWidth="1"/>
    <col min="15876" max="15876" width="10.109375" style="118" customWidth="1"/>
    <col min="15877" max="15877" width="8.109375" style="118" customWidth="1"/>
    <col min="15878" max="15878" width="11.88671875" style="118" customWidth="1"/>
    <col min="15879" max="15879" width="12" style="118" customWidth="1"/>
    <col min="15880" max="15896" width="12.5546875" style="118" customWidth="1"/>
    <col min="15897" max="15897" width="2.109375" style="118" customWidth="1"/>
    <col min="15898" max="15898" width="8.6640625" style="118" bestFit="1" customWidth="1"/>
    <col min="15899" max="15899" width="2.5546875" style="118" customWidth="1"/>
    <col min="15900" max="16128" width="9.109375" style="118"/>
    <col min="16129" max="16129" width="31.88671875" style="118" customWidth="1"/>
    <col min="16130" max="16130" width="7.88671875" style="118" customWidth="1"/>
    <col min="16131" max="16131" width="40.88671875" style="118" customWidth="1"/>
    <col min="16132" max="16132" width="10.109375" style="118" customWidth="1"/>
    <col min="16133" max="16133" width="8.109375" style="118" customWidth="1"/>
    <col min="16134" max="16134" width="11.88671875" style="118" customWidth="1"/>
    <col min="16135" max="16135" width="12" style="118" customWidth="1"/>
    <col min="16136" max="16152" width="12.5546875" style="118" customWidth="1"/>
    <col min="16153" max="16153" width="2.109375" style="118" customWidth="1"/>
    <col min="16154" max="16154" width="8.6640625" style="118" bestFit="1" customWidth="1"/>
    <col min="16155" max="16155" width="2.5546875" style="118" customWidth="1"/>
    <col min="16156" max="16384" width="9.109375" style="118"/>
  </cols>
  <sheetData>
    <row r="1" spans="1:31" ht="25.5" customHeight="1" thickBot="1">
      <c r="A1" s="1067" t="s">
        <v>1790</v>
      </c>
      <c r="B1" s="1068"/>
      <c r="C1" s="1068"/>
      <c r="D1" s="1068"/>
      <c r="E1" s="1068"/>
      <c r="F1" s="1068"/>
      <c r="G1" s="1068"/>
      <c r="H1" s="1068"/>
      <c r="I1" s="1068"/>
      <c r="J1" s="1068"/>
      <c r="K1" s="1068"/>
      <c r="L1" s="1068"/>
      <c r="M1" s="1068"/>
      <c r="N1" s="1068"/>
      <c r="O1" s="1068"/>
      <c r="P1" s="1068"/>
      <c r="Q1" s="1068"/>
      <c r="R1" s="1068"/>
      <c r="S1" s="1068"/>
      <c r="T1" s="1068"/>
      <c r="U1" s="1068"/>
      <c r="V1" s="1068"/>
      <c r="W1" s="1068"/>
      <c r="X1" s="1069"/>
    </row>
    <row r="2" spans="1:31" ht="21.75" customHeight="1" thickBot="1">
      <c r="A2" s="1070" t="s">
        <v>1791</v>
      </c>
      <c r="B2" s="1070"/>
      <c r="C2" s="1070"/>
      <c r="D2" s="1070" t="s">
        <v>1792</v>
      </c>
      <c r="E2" s="1071"/>
      <c r="F2" s="1072" t="s">
        <v>1793</v>
      </c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  <c r="S2" s="1073" t="s">
        <v>1794</v>
      </c>
      <c r="T2" s="1073"/>
      <c r="U2" s="1073"/>
      <c r="V2" s="1073"/>
      <c r="W2" s="1073"/>
      <c r="X2" s="1073"/>
    </row>
    <row r="3" spans="1:31" s="309" customFormat="1" ht="57.75" customHeight="1" thickBot="1">
      <c r="A3" s="306" t="s">
        <v>1795</v>
      </c>
      <c r="B3" s="306" t="s">
        <v>1254</v>
      </c>
      <c r="C3" s="306" t="s">
        <v>1796</v>
      </c>
      <c r="D3" s="306" t="s">
        <v>1797</v>
      </c>
      <c r="E3" s="306" t="s">
        <v>1798</v>
      </c>
      <c r="F3" s="307" t="s">
        <v>1799</v>
      </c>
      <c r="G3" s="307" t="s">
        <v>1800</v>
      </c>
      <c r="H3" s="307" t="s">
        <v>1801</v>
      </c>
      <c r="I3" s="307" t="s">
        <v>1802</v>
      </c>
      <c r="J3" s="307" t="s">
        <v>1803</v>
      </c>
      <c r="K3" s="307" t="s">
        <v>1804</v>
      </c>
      <c r="L3" s="307" t="s">
        <v>1805</v>
      </c>
      <c r="M3" s="307" t="s">
        <v>1806</v>
      </c>
      <c r="N3" s="307" t="s">
        <v>1807</v>
      </c>
      <c r="O3" s="307" t="s">
        <v>1808</v>
      </c>
      <c r="P3" s="307" t="s">
        <v>1809</v>
      </c>
      <c r="Q3" s="307" t="s">
        <v>1810</v>
      </c>
      <c r="R3" s="307" t="s">
        <v>1811</v>
      </c>
      <c r="S3" s="308" t="s">
        <v>1812</v>
      </c>
      <c r="T3" s="308" t="s">
        <v>1813</v>
      </c>
      <c r="U3" s="308" t="s">
        <v>1814</v>
      </c>
      <c r="V3" s="308" t="s">
        <v>1815</v>
      </c>
      <c r="W3" s="308" t="s">
        <v>1816</v>
      </c>
      <c r="X3" s="308" t="s">
        <v>1817</v>
      </c>
    </row>
    <row r="4" spans="1:31" s="309" customFormat="1" ht="19.5" customHeight="1">
      <c r="A4" s="1064" t="s">
        <v>1818</v>
      </c>
      <c r="B4" s="1065"/>
      <c r="C4" s="1065"/>
      <c r="D4" s="1065"/>
      <c r="E4" s="1065"/>
      <c r="F4" s="1065"/>
      <c r="G4" s="1065"/>
      <c r="H4" s="1065"/>
      <c r="I4" s="1065"/>
      <c r="J4" s="1065"/>
      <c r="K4" s="1065"/>
      <c r="L4" s="1065"/>
      <c r="M4" s="1065"/>
      <c r="N4" s="1065"/>
      <c r="O4" s="1065"/>
      <c r="P4" s="1065"/>
      <c r="Q4" s="1065"/>
      <c r="R4" s="1065"/>
      <c r="S4" s="1065"/>
      <c r="T4" s="1065"/>
      <c r="U4" s="1065"/>
      <c r="V4" s="1065"/>
      <c r="W4" s="1065"/>
      <c r="X4" s="1066"/>
    </row>
    <row r="5" spans="1:31" ht="24.75" customHeight="1">
      <c r="A5" s="310" t="s">
        <v>1819</v>
      </c>
      <c r="B5" s="311">
        <v>49778170</v>
      </c>
      <c r="C5" s="312" t="s">
        <v>1820</v>
      </c>
      <c r="D5" s="313">
        <v>42.795000000000002</v>
      </c>
      <c r="E5" s="313">
        <v>44.478000000000002</v>
      </c>
      <c r="F5" s="313">
        <v>16441</v>
      </c>
      <c r="G5" s="313">
        <v>18921</v>
      </c>
      <c r="H5" s="313">
        <v>0</v>
      </c>
      <c r="I5" s="313">
        <v>605</v>
      </c>
      <c r="J5" s="313">
        <v>360</v>
      </c>
      <c r="K5" s="313">
        <v>2474</v>
      </c>
      <c r="L5" s="313">
        <v>616</v>
      </c>
      <c r="M5" s="313">
        <v>734</v>
      </c>
      <c r="N5" s="313">
        <f t="shared" ref="N5:N40" si="0">I5+J5+K5+L5+M5</f>
        <v>4789</v>
      </c>
      <c r="O5" s="313">
        <f t="shared" ref="O5:O40" si="1">F5</f>
        <v>16441</v>
      </c>
      <c r="P5" s="313">
        <v>0</v>
      </c>
      <c r="Q5" s="313">
        <v>1672</v>
      </c>
      <c r="R5" s="313">
        <v>0</v>
      </c>
      <c r="S5" s="314">
        <v>238</v>
      </c>
      <c r="T5" s="313">
        <v>238</v>
      </c>
      <c r="U5" s="313">
        <v>315</v>
      </c>
      <c r="V5" s="313">
        <v>20893</v>
      </c>
      <c r="W5" s="313">
        <v>21131</v>
      </c>
      <c r="X5" s="315">
        <v>18683</v>
      </c>
    </row>
    <row r="6" spans="1:31" ht="24.75" customHeight="1">
      <c r="A6" s="310" t="s">
        <v>1821</v>
      </c>
      <c r="B6" s="311">
        <v>49778099</v>
      </c>
      <c r="C6" s="312" t="s">
        <v>1822</v>
      </c>
      <c r="D6" s="313">
        <v>68.22</v>
      </c>
      <c r="E6" s="313">
        <v>70.600999999999999</v>
      </c>
      <c r="F6" s="313">
        <v>11544</v>
      </c>
      <c r="G6" s="313">
        <v>16001</v>
      </c>
      <c r="H6" s="313">
        <v>0</v>
      </c>
      <c r="I6" s="313">
        <v>155</v>
      </c>
      <c r="J6" s="313">
        <v>221</v>
      </c>
      <c r="K6" s="313">
        <v>223</v>
      </c>
      <c r="L6" s="313">
        <v>0</v>
      </c>
      <c r="M6" s="313">
        <v>412</v>
      </c>
      <c r="N6" s="313">
        <f t="shared" si="0"/>
        <v>1011</v>
      </c>
      <c r="O6" s="313">
        <f t="shared" si="1"/>
        <v>11544</v>
      </c>
      <c r="P6" s="313">
        <v>0</v>
      </c>
      <c r="Q6" s="313">
        <v>3233</v>
      </c>
      <c r="R6" s="313">
        <v>0</v>
      </c>
      <c r="S6" s="313">
        <v>35</v>
      </c>
      <c r="T6" s="313">
        <v>35</v>
      </c>
      <c r="U6" s="313">
        <v>427</v>
      </c>
      <c r="V6" s="313">
        <v>31451</v>
      </c>
      <c r="W6" s="313">
        <v>31486</v>
      </c>
      <c r="X6" s="315">
        <v>30472</v>
      </c>
    </row>
    <row r="7" spans="1:31" ht="24.75" customHeight="1">
      <c r="A7" s="310" t="s">
        <v>1823</v>
      </c>
      <c r="B7" s="311">
        <v>49778145</v>
      </c>
      <c r="C7" s="312" t="s">
        <v>1824</v>
      </c>
      <c r="D7" s="313">
        <v>70.465000000000003</v>
      </c>
      <c r="E7" s="313">
        <v>87.15</v>
      </c>
      <c r="F7" s="313">
        <v>56620</v>
      </c>
      <c r="G7" s="313">
        <v>58814</v>
      </c>
      <c r="H7" s="313">
        <v>0</v>
      </c>
      <c r="I7" s="313">
        <v>279</v>
      </c>
      <c r="J7" s="313">
        <v>519</v>
      </c>
      <c r="K7" s="313">
        <v>0</v>
      </c>
      <c r="L7" s="313">
        <v>554</v>
      </c>
      <c r="M7" s="313">
        <v>1163</v>
      </c>
      <c r="N7" s="313">
        <f t="shared" si="0"/>
        <v>2515</v>
      </c>
      <c r="O7" s="313">
        <f t="shared" si="1"/>
        <v>56620</v>
      </c>
      <c r="P7" s="313">
        <v>0</v>
      </c>
      <c r="Q7" s="313">
        <v>4823</v>
      </c>
      <c r="R7" s="313">
        <v>0</v>
      </c>
      <c r="S7" s="313">
        <v>42</v>
      </c>
      <c r="T7" s="313">
        <v>42</v>
      </c>
      <c r="U7" s="313">
        <v>537</v>
      </c>
      <c r="V7" s="313">
        <v>35950</v>
      </c>
      <c r="W7" s="313">
        <v>35992</v>
      </c>
      <c r="X7" s="315">
        <v>35077</v>
      </c>
      <c r="AB7" s="316"/>
      <c r="AC7" s="316"/>
      <c r="AD7" s="316"/>
      <c r="AE7" s="316"/>
    </row>
    <row r="8" spans="1:31" ht="24.75" customHeight="1">
      <c r="A8" s="310" t="s">
        <v>1825</v>
      </c>
      <c r="B8" s="311">
        <v>49778102</v>
      </c>
      <c r="C8" s="312" t="s">
        <v>1826</v>
      </c>
      <c r="D8" s="313">
        <v>64.11699999999999</v>
      </c>
      <c r="E8" s="313">
        <v>72.457999999999998</v>
      </c>
      <c r="F8" s="313">
        <v>19771</v>
      </c>
      <c r="G8" s="313">
        <v>24075</v>
      </c>
      <c r="H8" s="313">
        <v>0</v>
      </c>
      <c r="I8" s="313">
        <v>142</v>
      </c>
      <c r="J8" s="313">
        <v>115</v>
      </c>
      <c r="K8" s="313">
        <v>0</v>
      </c>
      <c r="L8" s="313">
        <v>191</v>
      </c>
      <c r="M8" s="313">
        <v>1452</v>
      </c>
      <c r="N8" s="313">
        <f t="shared" si="0"/>
        <v>1900</v>
      </c>
      <c r="O8" s="313">
        <f t="shared" si="1"/>
        <v>19771</v>
      </c>
      <c r="P8" s="313">
        <v>0</v>
      </c>
      <c r="Q8" s="313">
        <v>3810</v>
      </c>
      <c r="R8" s="313">
        <v>0</v>
      </c>
      <c r="S8" s="313">
        <v>-97</v>
      </c>
      <c r="T8" s="313">
        <v>-97</v>
      </c>
      <c r="U8" s="313">
        <v>732</v>
      </c>
      <c r="V8" s="313">
        <v>34381</v>
      </c>
      <c r="W8" s="313">
        <v>34284</v>
      </c>
      <c r="X8" s="315">
        <v>29928</v>
      </c>
      <c r="AB8" s="316"/>
      <c r="AC8" s="316"/>
      <c r="AD8" s="316"/>
      <c r="AE8" s="316"/>
    </row>
    <row r="9" spans="1:31" ht="24.75" customHeight="1">
      <c r="A9" s="310" t="s">
        <v>1827</v>
      </c>
      <c r="B9" s="311">
        <v>49778137</v>
      </c>
      <c r="C9" s="312" t="s">
        <v>1828</v>
      </c>
      <c r="D9" s="313">
        <v>53.866</v>
      </c>
      <c r="E9" s="313">
        <v>57.826999999999998</v>
      </c>
      <c r="F9" s="313">
        <v>9822</v>
      </c>
      <c r="G9" s="313">
        <v>15300</v>
      </c>
      <c r="H9" s="313">
        <v>0</v>
      </c>
      <c r="I9" s="313">
        <v>64</v>
      </c>
      <c r="J9" s="313">
        <v>59</v>
      </c>
      <c r="K9" s="313">
        <v>37</v>
      </c>
      <c r="L9" s="313">
        <v>1040</v>
      </c>
      <c r="M9" s="313">
        <v>1185</v>
      </c>
      <c r="N9" s="313">
        <f t="shared" si="0"/>
        <v>2385</v>
      </c>
      <c r="O9" s="313">
        <f t="shared" si="1"/>
        <v>9822</v>
      </c>
      <c r="P9" s="313">
        <v>0</v>
      </c>
      <c r="Q9" s="313">
        <v>3955</v>
      </c>
      <c r="R9" s="313">
        <v>0</v>
      </c>
      <c r="S9" s="313">
        <v>98</v>
      </c>
      <c r="T9" s="313">
        <v>98</v>
      </c>
      <c r="U9" s="313">
        <v>603</v>
      </c>
      <c r="V9" s="313">
        <v>29553</v>
      </c>
      <c r="W9" s="313">
        <v>29651</v>
      </c>
      <c r="X9" s="315">
        <v>29271</v>
      </c>
      <c r="AB9" s="316"/>
      <c r="AC9" s="316"/>
      <c r="AD9" s="316"/>
      <c r="AE9" s="316"/>
    </row>
    <row r="10" spans="1:31" ht="24.75" customHeight="1">
      <c r="A10" s="310" t="s">
        <v>1829</v>
      </c>
      <c r="B10" s="317" t="s">
        <v>1830</v>
      </c>
      <c r="C10" s="312" t="s">
        <v>1831</v>
      </c>
      <c r="D10" s="313">
        <v>70.168000000000006</v>
      </c>
      <c r="E10" s="313">
        <v>72.352000000000004</v>
      </c>
      <c r="F10" s="313">
        <v>25887</v>
      </c>
      <c r="G10" s="313">
        <v>49414</v>
      </c>
      <c r="H10" s="313">
        <v>0</v>
      </c>
      <c r="I10" s="313">
        <v>435</v>
      </c>
      <c r="J10" s="313">
        <v>171</v>
      </c>
      <c r="K10" s="313">
        <v>571</v>
      </c>
      <c r="L10" s="313">
        <v>0</v>
      </c>
      <c r="M10" s="313">
        <v>651</v>
      </c>
      <c r="N10" s="313">
        <f t="shared" si="0"/>
        <v>1828</v>
      </c>
      <c r="O10" s="313">
        <f t="shared" si="1"/>
        <v>25887</v>
      </c>
      <c r="P10" s="313">
        <v>44</v>
      </c>
      <c r="Q10" s="313">
        <v>4112</v>
      </c>
      <c r="R10" s="313">
        <v>0</v>
      </c>
      <c r="S10" s="313">
        <v>33</v>
      </c>
      <c r="T10" s="313">
        <v>33</v>
      </c>
      <c r="U10" s="313">
        <v>472</v>
      </c>
      <c r="V10" s="313">
        <v>37257</v>
      </c>
      <c r="W10" s="313">
        <v>37290</v>
      </c>
      <c r="X10" s="315">
        <v>35522</v>
      </c>
      <c r="AB10" s="318"/>
      <c r="AC10" s="318"/>
      <c r="AD10" s="318"/>
      <c r="AE10" s="318"/>
    </row>
    <row r="11" spans="1:31" ht="34.5" customHeight="1">
      <c r="A11" s="310" t="s">
        <v>1832</v>
      </c>
      <c r="B11" s="311">
        <v>49774191</v>
      </c>
      <c r="C11" s="312" t="s">
        <v>1833</v>
      </c>
      <c r="D11" s="313">
        <v>18.934999999999999</v>
      </c>
      <c r="E11" s="313">
        <v>21.207999999999998</v>
      </c>
      <c r="F11" s="313">
        <v>40246</v>
      </c>
      <c r="G11" s="313">
        <v>24379</v>
      </c>
      <c r="H11" s="313">
        <v>0</v>
      </c>
      <c r="I11" s="313">
        <v>0</v>
      </c>
      <c r="J11" s="313">
        <v>152</v>
      </c>
      <c r="K11" s="313">
        <v>275</v>
      </c>
      <c r="L11" s="313">
        <v>5668</v>
      </c>
      <c r="M11" s="313">
        <v>320</v>
      </c>
      <c r="N11" s="313">
        <f t="shared" si="0"/>
        <v>6415</v>
      </c>
      <c r="O11" s="313">
        <f t="shared" si="1"/>
        <v>40246</v>
      </c>
      <c r="P11" s="313">
        <v>0</v>
      </c>
      <c r="Q11" s="313">
        <v>23666</v>
      </c>
      <c r="R11" s="313">
        <v>0</v>
      </c>
      <c r="S11" s="313">
        <v>236</v>
      </c>
      <c r="T11" s="313">
        <v>221</v>
      </c>
      <c r="U11" s="313">
        <v>349</v>
      </c>
      <c r="V11" s="313">
        <v>30735</v>
      </c>
      <c r="W11" s="313">
        <v>30971</v>
      </c>
      <c r="X11" s="315">
        <v>16420</v>
      </c>
      <c r="AB11" s="318"/>
      <c r="AC11" s="318"/>
      <c r="AD11" s="318"/>
      <c r="AE11" s="318"/>
    </row>
    <row r="12" spans="1:31" ht="24.75" customHeight="1">
      <c r="A12" s="310" t="s">
        <v>1834</v>
      </c>
      <c r="B12" s="311">
        <v>49778111</v>
      </c>
      <c r="C12" s="312" t="s">
        <v>1835</v>
      </c>
      <c r="D12" s="313">
        <v>60.524999999999999</v>
      </c>
      <c r="E12" s="313">
        <v>69.519000000000005</v>
      </c>
      <c r="F12" s="313">
        <v>75581</v>
      </c>
      <c r="G12" s="313">
        <v>85486</v>
      </c>
      <c r="H12" s="313">
        <v>0</v>
      </c>
      <c r="I12" s="313">
        <v>161</v>
      </c>
      <c r="J12" s="313">
        <v>336</v>
      </c>
      <c r="K12" s="313">
        <v>52</v>
      </c>
      <c r="L12" s="313">
        <v>0</v>
      </c>
      <c r="M12" s="313">
        <v>843</v>
      </c>
      <c r="N12" s="313">
        <f t="shared" si="0"/>
        <v>1392</v>
      </c>
      <c r="O12" s="313">
        <f t="shared" si="1"/>
        <v>75581</v>
      </c>
      <c r="P12" s="313">
        <v>0</v>
      </c>
      <c r="Q12" s="313">
        <v>2469</v>
      </c>
      <c r="R12" s="313">
        <v>0</v>
      </c>
      <c r="S12" s="313">
        <v>20</v>
      </c>
      <c r="T12" s="313">
        <v>20</v>
      </c>
      <c r="U12" s="313">
        <v>709</v>
      </c>
      <c r="V12" s="313">
        <v>29289</v>
      </c>
      <c r="W12" s="313">
        <v>29309</v>
      </c>
      <c r="X12" s="315">
        <v>27950</v>
      </c>
      <c r="AB12" s="318"/>
      <c r="AC12" s="318"/>
      <c r="AD12" s="318"/>
      <c r="AE12" s="318"/>
    </row>
    <row r="13" spans="1:31" ht="24.75" customHeight="1">
      <c r="A13" s="310" t="s">
        <v>1836</v>
      </c>
      <c r="B13" s="311">
        <v>49778161</v>
      </c>
      <c r="C13" s="312" t="s">
        <v>1837</v>
      </c>
      <c r="D13" s="313">
        <v>59.143000000000001</v>
      </c>
      <c r="E13" s="313">
        <v>59.655999999999999</v>
      </c>
      <c r="F13" s="313">
        <v>8549</v>
      </c>
      <c r="G13" s="313">
        <v>16139</v>
      </c>
      <c r="H13" s="313">
        <v>0</v>
      </c>
      <c r="I13" s="313">
        <v>35</v>
      </c>
      <c r="J13" s="313">
        <v>57</v>
      </c>
      <c r="K13" s="313">
        <v>8</v>
      </c>
      <c r="L13" s="313">
        <v>30</v>
      </c>
      <c r="M13" s="313">
        <v>211</v>
      </c>
      <c r="N13" s="313">
        <f t="shared" si="0"/>
        <v>341</v>
      </c>
      <c r="O13" s="313">
        <f t="shared" si="1"/>
        <v>8549</v>
      </c>
      <c r="P13" s="313">
        <v>0</v>
      </c>
      <c r="Q13" s="313">
        <v>2586</v>
      </c>
      <c r="R13" s="313">
        <v>0</v>
      </c>
      <c r="S13" s="313">
        <v>3</v>
      </c>
      <c r="T13" s="313">
        <v>3</v>
      </c>
      <c r="U13" s="313">
        <v>600</v>
      </c>
      <c r="V13" s="313">
        <v>28685</v>
      </c>
      <c r="W13" s="313">
        <v>28688</v>
      </c>
      <c r="X13" s="315">
        <v>27945</v>
      </c>
      <c r="AB13" s="318"/>
      <c r="AC13" s="318"/>
      <c r="AD13" s="318"/>
      <c r="AE13" s="318"/>
    </row>
    <row r="14" spans="1:31" ht="24.75" customHeight="1">
      <c r="A14" s="310" t="s">
        <v>1838</v>
      </c>
      <c r="B14" s="311">
        <v>49774859</v>
      </c>
      <c r="C14" s="312" t="s">
        <v>1839</v>
      </c>
      <c r="D14" s="313">
        <v>38.177999999999997</v>
      </c>
      <c r="E14" s="313">
        <v>40.003</v>
      </c>
      <c r="F14" s="313">
        <v>12430</v>
      </c>
      <c r="G14" s="313">
        <v>12053</v>
      </c>
      <c r="H14" s="313">
        <v>0</v>
      </c>
      <c r="I14" s="313">
        <v>286</v>
      </c>
      <c r="J14" s="313">
        <v>17</v>
      </c>
      <c r="K14" s="313">
        <v>45</v>
      </c>
      <c r="L14" s="313">
        <v>3055</v>
      </c>
      <c r="M14" s="313">
        <v>140</v>
      </c>
      <c r="N14" s="313">
        <f t="shared" si="0"/>
        <v>3543</v>
      </c>
      <c r="O14" s="313">
        <f t="shared" si="1"/>
        <v>12430</v>
      </c>
      <c r="P14" s="313">
        <v>0</v>
      </c>
      <c r="Q14" s="313">
        <v>1963</v>
      </c>
      <c r="R14" s="313">
        <v>0</v>
      </c>
      <c r="S14" s="313">
        <v>46</v>
      </c>
      <c r="T14" s="313">
        <v>46</v>
      </c>
      <c r="U14" s="313">
        <v>209</v>
      </c>
      <c r="V14" s="313">
        <v>19908</v>
      </c>
      <c r="W14" s="313">
        <v>19954</v>
      </c>
      <c r="X14" s="315">
        <v>19595</v>
      </c>
    </row>
    <row r="15" spans="1:31" ht="24.75" customHeight="1">
      <c r="A15" s="310" t="s">
        <v>1840</v>
      </c>
      <c r="B15" s="311">
        <v>49777645</v>
      </c>
      <c r="C15" s="312" t="s">
        <v>1841</v>
      </c>
      <c r="D15" s="313">
        <v>27.278000000000002</v>
      </c>
      <c r="E15" s="313">
        <v>28.371000000000002</v>
      </c>
      <c r="F15" s="313">
        <v>2298</v>
      </c>
      <c r="G15" s="313">
        <v>2939</v>
      </c>
      <c r="H15" s="313">
        <v>0</v>
      </c>
      <c r="I15" s="313">
        <v>73</v>
      </c>
      <c r="J15" s="313">
        <v>9</v>
      </c>
      <c r="K15" s="313">
        <v>13</v>
      </c>
      <c r="L15" s="313">
        <v>371</v>
      </c>
      <c r="M15" s="313">
        <v>148</v>
      </c>
      <c r="N15" s="313">
        <f t="shared" si="0"/>
        <v>614</v>
      </c>
      <c r="O15" s="313">
        <f t="shared" si="1"/>
        <v>2298</v>
      </c>
      <c r="P15" s="313">
        <v>404</v>
      </c>
      <c r="Q15" s="313">
        <v>1041</v>
      </c>
      <c r="R15" s="313">
        <v>0</v>
      </c>
      <c r="S15" s="319">
        <v>9</v>
      </c>
      <c r="T15" s="319">
        <v>9</v>
      </c>
      <c r="U15" s="313">
        <v>26</v>
      </c>
      <c r="V15" s="313">
        <v>12673</v>
      </c>
      <c r="W15" s="313">
        <v>12682</v>
      </c>
      <c r="X15" s="315">
        <v>12647</v>
      </c>
    </row>
    <row r="16" spans="1:31" ht="24.75" customHeight="1">
      <c r="A16" s="310" t="s">
        <v>1842</v>
      </c>
      <c r="B16" s="311">
        <v>49777564</v>
      </c>
      <c r="C16" s="312" t="s">
        <v>1843</v>
      </c>
      <c r="D16" s="313">
        <v>58.564</v>
      </c>
      <c r="E16" s="313">
        <v>67.260000000000005</v>
      </c>
      <c r="F16" s="313">
        <v>24195</v>
      </c>
      <c r="G16" s="313">
        <v>17056</v>
      </c>
      <c r="H16" s="313">
        <v>0</v>
      </c>
      <c r="I16" s="313">
        <v>181</v>
      </c>
      <c r="J16" s="313">
        <v>494</v>
      </c>
      <c r="K16" s="313">
        <v>0</v>
      </c>
      <c r="L16" s="313">
        <v>1941</v>
      </c>
      <c r="M16" s="313">
        <v>208</v>
      </c>
      <c r="N16" s="313">
        <f t="shared" si="0"/>
        <v>2824</v>
      </c>
      <c r="O16" s="313">
        <f t="shared" si="1"/>
        <v>24195</v>
      </c>
      <c r="P16" s="313">
        <v>0</v>
      </c>
      <c r="Q16" s="313">
        <v>12073</v>
      </c>
      <c r="R16" s="313">
        <v>0</v>
      </c>
      <c r="S16" s="319">
        <v>136</v>
      </c>
      <c r="T16" s="319">
        <v>136</v>
      </c>
      <c r="U16" s="313">
        <v>224</v>
      </c>
      <c r="V16" s="313">
        <v>27345</v>
      </c>
      <c r="W16" s="313">
        <v>27481</v>
      </c>
      <c r="X16" s="315">
        <v>25546</v>
      </c>
    </row>
    <row r="17" spans="1:31" ht="24.75" customHeight="1">
      <c r="A17" s="310" t="s">
        <v>1844</v>
      </c>
      <c r="B17" s="311">
        <v>49777700</v>
      </c>
      <c r="C17" s="312" t="s">
        <v>1843</v>
      </c>
      <c r="D17" s="313">
        <v>35.384</v>
      </c>
      <c r="E17" s="313">
        <v>43.484999999999999</v>
      </c>
      <c r="F17" s="313">
        <v>26550</v>
      </c>
      <c r="G17" s="313">
        <v>27381</v>
      </c>
      <c r="H17" s="313">
        <v>0</v>
      </c>
      <c r="I17" s="313">
        <v>76</v>
      </c>
      <c r="J17" s="313">
        <v>109</v>
      </c>
      <c r="K17" s="313">
        <v>63</v>
      </c>
      <c r="L17" s="313">
        <v>0</v>
      </c>
      <c r="M17" s="313">
        <v>2864</v>
      </c>
      <c r="N17" s="313">
        <f t="shared" si="0"/>
        <v>3112</v>
      </c>
      <c r="O17" s="313">
        <f t="shared" si="1"/>
        <v>26550</v>
      </c>
      <c r="P17" s="313">
        <v>0</v>
      </c>
      <c r="Q17" s="313">
        <v>14941</v>
      </c>
      <c r="R17" s="313">
        <v>0</v>
      </c>
      <c r="S17" s="319">
        <v>-192</v>
      </c>
      <c r="T17" s="319">
        <v>-192</v>
      </c>
      <c r="U17" s="313">
        <v>1015</v>
      </c>
      <c r="V17" s="313">
        <v>25760</v>
      </c>
      <c r="W17" s="313">
        <v>25568</v>
      </c>
      <c r="X17" s="315">
        <v>15791</v>
      </c>
    </row>
    <row r="18" spans="1:31" ht="24.75" customHeight="1">
      <c r="A18" s="310" t="s">
        <v>1845</v>
      </c>
      <c r="B18" s="311">
        <v>69457417</v>
      </c>
      <c r="C18" s="312" t="s">
        <v>1846</v>
      </c>
      <c r="D18" s="313">
        <v>52.567</v>
      </c>
      <c r="E18" s="313">
        <v>59.304000000000002</v>
      </c>
      <c r="F18" s="313">
        <v>4758</v>
      </c>
      <c r="G18" s="313">
        <v>8926</v>
      </c>
      <c r="H18" s="313">
        <v>0</v>
      </c>
      <c r="I18" s="313">
        <v>0</v>
      </c>
      <c r="J18" s="313">
        <v>98</v>
      </c>
      <c r="K18" s="313">
        <v>308</v>
      </c>
      <c r="L18" s="313">
        <v>0</v>
      </c>
      <c r="M18" s="313">
        <v>464</v>
      </c>
      <c r="N18" s="313">
        <f t="shared" si="0"/>
        <v>870</v>
      </c>
      <c r="O18" s="313">
        <f t="shared" si="1"/>
        <v>4758</v>
      </c>
      <c r="P18" s="313">
        <v>0</v>
      </c>
      <c r="Q18" s="313">
        <v>3486</v>
      </c>
      <c r="R18" s="313">
        <v>0</v>
      </c>
      <c r="S18" s="313">
        <v>2</v>
      </c>
      <c r="T18" s="313">
        <v>2</v>
      </c>
      <c r="U18" s="313">
        <v>98</v>
      </c>
      <c r="V18" s="313">
        <v>26186</v>
      </c>
      <c r="W18" s="313">
        <v>26188</v>
      </c>
      <c r="X18" s="315">
        <v>25592</v>
      </c>
    </row>
    <row r="19" spans="1:31" ht="24.75" customHeight="1">
      <c r="A19" s="310" t="s">
        <v>1847</v>
      </c>
      <c r="B19" s="317" t="s">
        <v>1848</v>
      </c>
      <c r="C19" s="312" t="s">
        <v>1849</v>
      </c>
      <c r="D19" s="313">
        <v>107.11099999999999</v>
      </c>
      <c r="E19" s="313">
        <v>109.313</v>
      </c>
      <c r="F19" s="313">
        <v>44365</v>
      </c>
      <c r="G19" s="313">
        <v>72512</v>
      </c>
      <c r="H19" s="313">
        <v>0</v>
      </c>
      <c r="I19" s="313">
        <v>1072</v>
      </c>
      <c r="J19" s="313">
        <v>680</v>
      </c>
      <c r="K19" s="313">
        <v>2367</v>
      </c>
      <c r="L19" s="313">
        <v>0</v>
      </c>
      <c r="M19" s="313">
        <v>5484</v>
      </c>
      <c r="N19" s="313">
        <f t="shared" si="0"/>
        <v>9603</v>
      </c>
      <c r="O19" s="313">
        <f t="shared" si="1"/>
        <v>44365</v>
      </c>
      <c r="P19" s="313">
        <v>0</v>
      </c>
      <c r="Q19" s="313">
        <v>5305</v>
      </c>
      <c r="R19" s="313">
        <v>0</v>
      </c>
      <c r="S19" s="313">
        <v>296</v>
      </c>
      <c r="T19" s="313">
        <v>199</v>
      </c>
      <c r="U19" s="313">
        <v>948</v>
      </c>
      <c r="V19" s="313">
        <v>57704</v>
      </c>
      <c r="W19" s="313">
        <v>58000</v>
      </c>
      <c r="X19" s="315">
        <v>49610</v>
      </c>
    </row>
    <row r="20" spans="1:31" ht="24.75" customHeight="1">
      <c r="A20" s="310" t="s">
        <v>1850</v>
      </c>
      <c r="B20" s="311">
        <v>69457930</v>
      </c>
      <c r="C20" s="312" t="s">
        <v>1851</v>
      </c>
      <c r="D20" s="313">
        <v>226.25100000000003</v>
      </c>
      <c r="E20" s="313">
        <v>239.09199999999998</v>
      </c>
      <c r="F20" s="313">
        <v>314164</v>
      </c>
      <c r="G20" s="313">
        <v>409525</v>
      </c>
      <c r="H20" s="313">
        <v>0</v>
      </c>
      <c r="I20" s="313">
        <v>381</v>
      </c>
      <c r="J20" s="313">
        <v>488</v>
      </c>
      <c r="K20" s="313">
        <v>0</v>
      </c>
      <c r="L20" s="313">
        <v>0</v>
      </c>
      <c r="M20" s="313">
        <v>2</v>
      </c>
      <c r="N20" s="313">
        <f t="shared" si="0"/>
        <v>871</v>
      </c>
      <c r="O20" s="313">
        <f t="shared" si="1"/>
        <v>314164</v>
      </c>
      <c r="P20" s="313">
        <v>1701</v>
      </c>
      <c r="Q20" s="313">
        <v>13343</v>
      </c>
      <c r="R20" s="313">
        <v>0</v>
      </c>
      <c r="S20" s="313">
        <v>15</v>
      </c>
      <c r="T20" s="313">
        <v>1</v>
      </c>
      <c r="U20" s="313">
        <v>3844</v>
      </c>
      <c r="V20" s="313">
        <v>128041</v>
      </c>
      <c r="W20" s="313">
        <v>128056</v>
      </c>
      <c r="X20" s="315">
        <v>105869</v>
      </c>
    </row>
    <row r="21" spans="1:31" ht="24.75" customHeight="1">
      <c r="A21" s="320" t="s">
        <v>1852</v>
      </c>
      <c r="B21" s="317" t="s">
        <v>1853</v>
      </c>
      <c r="C21" s="312" t="s">
        <v>1854</v>
      </c>
      <c r="D21" s="313">
        <v>56.968000000000004</v>
      </c>
      <c r="E21" s="313">
        <v>58.447000000000003</v>
      </c>
      <c r="F21" s="313">
        <v>64729</v>
      </c>
      <c r="G21" s="313">
        <v>75962</v>
      </c>
      <c r="H21" s="313">
        <v>0</v>
      </c>
      <c r="I21" s="313">
        <v>308</v>
      </c>
      <c r="J21" s="313">
        <v>173</v>
      </c>
      <c r="K21" s="313">
        <v>354</v>
      </c>
      <c r="L21" s="313">
        <v>20</v>
      </c>
      <c r="M21" s="313">
        <v>219</v>
      </c>
      <c r="N21" s="313">
        <f t="shared" si="0"/>
        <v>1074</v>
      </c>
      <c r="O21" s="313">
        <f t="shared" si="1"/>
        <v>64729</v>
      </c>
      <c r="P21" s="313">
        <v>0</v>
      </c>
      <c r="Q21" s="313">
        <v>4128</v>
      </c>
      <c r="R21" s="313">
        <v>0</v>
      </c>
      <c r="S21" s="313">
        <v>162</v>
      </c>
      <c r="T21" s="313">
        <v>162</v>
      </c>
      <c r="U21" s="313">
        <v>661</v>
      </c>
      <c r="V21" s="313">
        <v>28245</v>
      </c>
      <c r="W21" s="313">
        <v>28407</v>
      </c>
      <c r="X21" s="315">
        <v>24525</v>
      </c>
    </row>
    <row r="22" spans="1:31" ht="24.75" customHeight="1">
      <c r="A22" s="320" t="s">
        <v>1855</v>
      </c>
      <c r="B22" s="311">
        <v>69456330</v>
      </c>
      <c r="C22" s="312" t="s">
        <v>1839</v>
      </c>
      <c r="D22" s="313">
        <v>170.54499999999999</v>
      </c>
      <c r="E22" s="313">
        <v>174.77500000000001</v>
      </c>
      <c r="F22" s="313">
        <v>143304</v>
      </c>
      <c r="G22" s="313">
        <v>218928</v>
      </c>
      <c r="H22" s="313">
        <v>0</v>
      </c>
      <c r="I22" s="313">
        <v>291</v>
      </c>
      <c r="J22" s="313">
        <v>645</v>
      </c>
      <c r="K22" s="313">
        <v>106</v>
      </c>
      <c r="L22" s="313">
        <v>2327</v>
      </c>
      <c r="M22" s="313">
        <v>1303</v>
      </c>
      <c r="N22" s="313">
        <f t="shared" si="0"/>
        <v>4672</v>
      </c>
      <c r="O22" s="313">
        <f t="shared" si="1"/>
        <v>143304</v>
      </c>
      <c r="P22" s="313">
        <v>175</v>
      </c>
      <c r="Q22" s="313">
        <v>8758</v>
      </c>
      <c r="R22" s="313">
        <v>0</v>
      </c>
      <c r="S22" s="313">
        <v>247</v>
      </c>
      <c r="T22" s="313">
        <v>247</v>
      </c>
      <c r="U22" s="313">
        <v>2592</v>
      </c>
      <c r="V22" s="313">
        <v>91844</v>
      </c>
      <c r="W22" s="313">
        <v>92091</v>
      </c>
      <c r="X22" s="315">
        <v>68286</v>
      </c>
    </row>
    <row r="23" spans="1:31" ht="33.75" customHeight="1">
      <c r="A23" s="320" t="s">
        <v>1856</v>
      </c>
      <c r="B23" s="317" t="s">
        <v>1857</v>
      </c>
      <c r="C23" s="312" t="s">
        <v>1858</v>
      </c>
      <c r="D23" s="313">
        <v>65.652000000000001</v>
      </c>
      <c r="E23" s="313">
        <v>73.918000000000006</v>
      </c>
      <c r="F23" s="313">
        <v>45541</v>
      </c>
      <c r="G23" s="313">
        <v>59919</v>
      </c>
      <c r="H23" s="313">
        <v>0</v>
      </c>
      <c r="I23" s="313">
        <v>206</v>
      </c>
      <c r="J23" s="313">
        <v>33</v>
      </c>
      <c r="K23" s="313">
        <v>0</v>
      </c>
      <c r="L23" s="313">
        <v>63</v>
      </c>
      <c r="M23" s="313">
        <v>223</v>
      </c>
      <c r="N23" s="313">
        <f t="shared" si="0"/>
        <v>525</v>
      </c>
      <c r="O23" s="313">
        <f t="shared" si="1"/>
        <v>45541</v>
      </c>
      <c r="P23" s="313">
        <v>0</v>
      </c>
      <c r="Q23" s="313">
        <v>4358</v>
      </c>
      <c r="R23" s="313">
        <v>0</v>
      </c>
      <c r="S23" s="313">
        <v>156</v>
      </c>
      <c r="T23" s="313">
        <v>156</v>
      </c>
      <c r="U23" s="313">
        <v>302</v>
      </c>
      <c r="V23" s="313">
        <v>34977</v>
      </c>
      <c r="W23" s="313">
        <v>35133</v>
      </c>
      <c r="X23" s="315">
        <v>32228</v>
      </c>
    </row>
    <row r="24" spans="1:31" ht="24.75" customHeight="1">
      <c r="A24" s="320" t="s">
        <v>1859</v>
      </c>
      <c r="B24" s="317" t="s">
        <v>1860</v>
      </c>
      <c r="C24" s="312" t="s">
        <v>1861</v>
      </c>
      <c r="D24" s="313">
        <v>87.63900000000001</v>
      </c>
      <c r="E24" s="313">
        <v>93.715000000000003</v>
      </c>
      <c r="F24" s="313">
        <v>60637</v>
      </c>
      <c r="G24" s="313">
        <v>87844</v>
      </c>
      <c r="H24" s="313">
        <v>0</v>
      </c>
      <c r="I24" s="313">
        <v>754</v>
      </c>
      <c r="J24" s="313">
        <v>255</v>
      </c>
      <c r="K24" s="313">
        <v>60</v>
      </c>
      <c r="L24" s="313">
        <v>1180</v>
      </c>
      <c r="M24" s="313">
        <v>2932</v>
      </c>
      <c r="N24" s="313">
        <f t="shared" si="0"/>
        <v>5181</v>
      </c>
      <c r="O24" s="313">
        <f t="shared" si="1"/>
        <v>60637</v>
      </c>
      <c r="P24" s="313">
        <v>0</v>
      </c>
      <c r="Q24" s="313">
        <v>3376</v>
      </c>
      <c r="R24" s="313">
        <v>0</v>
      </c>
      <c r="S24" s="313">
        <v>97</v>
      </c>
      <c r="T24" s="313">
        <v>97</v>
      </c>
      <c r="U24" s="313">
        <v>990</v>
      </c>
      <c r="V24" s="313">
        <v>43639</v>
      </c>
      <c r="W24" s="313">
        <v>43736</v>
      </c>
      <c r="X24" s="315">
        <v>37144</v>
      </c>
      <c r="AB24" s="316"/>
      <c r="AC24" s="316"/>
      <c r="AD24" s="316"/>
      <c r="AE24" s="316"/>
    </row>
    <row r="25" spans="1:31" ht="34.5" customHeight="1">
      <c r="A25" s="320" t="s">
        <v>1862</v>
      </c>
      <c r="B25" s="311">
        <v>49778081</v>
      </c>
      <c r="C25" s="312" t="s">
        <v>1863</v>
      </c>
      <c r="D25" s="313">
        <v>26.690999999999999</v>
      </c>
      <c r="E25" s="313">
        <v>28.44</v>
      </c>
      <c r="F25" s="313">
        <v>6081</v>
      </c>
      <c r="G25" s="313">
        <v>7697</v>
      </c>
      <c r="H25" s="313">
        <v>0</v>
      </c>
      <c r="I25" s="313">
        <v>199</v>
      </c>
      <c r="J25" s="313">
        <v>31</v>
      </c>
      <c r="K25" s="313">
        <v>386</v>
      </c>
      <c r="L25" s="313">
        <v>0</v>
      </c>
      <c r="M25" s="313">
        <v>592</v>
      </c>
      <c r="N25" s="313">
        <f t="shared" si="0"/>
        <v>1208</v>
      </c>
      <c r="O25" s="313">
        <f t="shared" si="1"/>
        <v>6081</v>
      </c>
      <c r="P25" s="313">
        <v>0</v>
      </c>
      <c r="Q25" s="313">
        <v>777</v>
      </c>
      <c r="R25" s="313">
        <v>0</v>
      </c>
      <c r="S25" s="313">
        <v>4</v>
      </c>
      <c r="T25" s="313">
        <v>4</v>
      </c>
      <c r="U25" s="313">
        <v>109</v>
      </c>
      <c r="V25" s="313">
        <v>10835</v>
      </c>
      <c r="W25" s="313">
        <v>10839</v>
      </c>
      <c r="X25" s="315">
        <v>10529</v>
      </c>
      <c r="AB25" s="318"/>
      <c r="AC25" s="318"/>
      <c r="AD25" s="318"/>
      <c r="AE25" s="318"/>
    </row>
    <row r="26" spans="1:31" ht="24.75" customHeight="1">
      <c r="A26" s="320" t="s">
        <v>1864</v>
      </c>
      <c r="B26" s="311">
        <v>49778153</v>
      </c>
      <c r="C26" s="312" t="s">
        <v>1865</v>
      </c>
      <c r="D26" s="313">
        <v>57.359000000000002</v>
      </c>
      <c r="E26" s="313">
        <v>61</v>
      </c>
      <c r="F26" s="313">
        <v>23544</v>
      </c>
      <c r="G26" s="313">
        <v>44498</v>
      </c>
      <c r="H26" s="313">
        <v>0</v>
      </c>
      <c r="I26" s="313">
        <v>0</v>
      </c>
      <c r="J26" s="313">
        <v>145</v>
      </c>
      <c r="K26" s="313">
        <v>160</v>
      </c>
      <c r="L26" s="313">
        <v>0</v>
      </c>
      <c r="M26" s="313">
        <v>765</v>
      </c>
      <c r="N26" s="313">
        <f t="shared" si="0"/>
        <v>1070</v>
      </c>
      <c r="O26" s="313">
        <f t="shared" si="1"/>
        <v>23544</v>
      </c>
      <c r="P26" s="313">
        <v>0</v>
      </c>
      <c r="Q26" s="313">
        <v>1824</v>
      </c>
      <c r="R26" s="313">
        <v>0</v>
      </c>
      <c r="S26" s="313">
        <v>15</v>
      </c>
      <c r="T26" s="313">
        <v>15</v>
      </c>
      <c r="U26" s="313">
        <v>689</v>
      </c>
      <c r="V26" s="313">
        <v>24667</v>
      </c>
      <c r="W26" s="313">
        <v>24682</v>
      </c>
      <c r="X26" s="315">
        <v>23523</v>
      </c>
    </row>
    <row r="27" spans="1:31" ht="24.75" customHeight="1">
      <c r="A27" s="320" t="s">
        <v>1866</v>
      </c>
      <c r="B27" s="311">
        <v>49778200</v>
      </c>
      <c r="C27" s="312" t="s">
        <v>1867</v>
      </c>
      <c r="D27" s="313">
        <v>44.268999999999998</v>
      </c>
      <c r="E27" s="313">
        <v>47.834000000000003</v>
      </c>
      <c r="F27" s="313">
        <v>43579</v>
      </c>
      <c r="G27" s="313">
        <v>50194</v>
      </c>
      <c r="H27" s="313">
        <v>0</v>
      </c>
      <c r="I27" s="313">
        <v>196</v>
      </c>
      <c r="J27" s="313">
        <v>13</v>
      </c>
      <c r="K27" s="313">
        <v>436</v>
      </c>
      <c r="L27" s="313">
        <v>386</v>
      </c>
      <c r="M27" s="313">
        <v>1732</v>
      </c>
      <c r="N27" s="313">
        <f t="shared" si="0"/>
        <v>2763</v>
      </c>
      <c r="O27" s="313">
        <f t="shared" si="1"/>
        <v>43579</v>
      </c>
      <c r="P27" s="313">
        <v>0</v>
      </c>
      <c r="Q27" s="313">
        <v>1719</v>
      </c>
      <c r="R27" s="313">
        <v>0</v>
      </c>
      <c r="S27" s="313">
        <v>38</v>
      </c>
      <c r="T27" s="313">
        <v>38</v>
      </c>
      <c r="U27" s="313">
        <v>424</v>
      </c>
      <c r="V27" s="313">
        <v>20127</v>
      </c>
      <c r="W27" s="313">
        <v>20165</v>
      </c>
      <c r="X27" s="315">
        <v>18703</v>
      </c>
    </row>
    <row r="28" spans="1:31" ht="24.75" customHeight="1">
      <c r="A28" s="320" t="s">
        <v>1868</v>
      </c>
      <c r="B28" s="311">
        <v>69457425</v>
      </c>
      <c r="C28" s="312" t="s">
        <v>1869</v>
      </c>
      <c r="D28" s="313">
        <v>111.024</v>
      </c>
      <c r="E28" s="313">
        <v>122.854</v>
      </c>
      <c r="F28" s="313">
        <v>151598</v>
      </c>
      <c r="G28" s="313">
        <v>216413</v>
      </c>
      <c r="H28" s="313">
        <v>0</v>
      </c>
      <c r="I28" s="313">
        <v>143</v>
      </c>
      <c r="J28" s="313">
        <v>533</v>
      </c>
      <c r="K28" s="313">
        <v>0</v>
      </c>
      <c r="L28" s="313">
        <v>0</v>
      </c>
      <c r="M28" s="313">
        <v>231</v>
      </c>
      <c r="N28" s="313">
        <f t="shared" si="0"/>
        <v>907</v>
      </c>
      <c r="O28" s="313">
        <f t="shared" si="1"/>
        <v>151598</v>
      </c>
      <c r="P28" s="313">
        <v>0</v>
      </c>
      <c r="Q28" s="313">
        <v>4745</v>
      </c>
      <c r="R28" s="313">
        <v>0</v>
      </c>
      <c r="S28" s="313">
        <v>157</v>
      </c>
      <c r="T28" s="314">
        <v>-1</v>
      </c>
      <c r="U28" s="313">
        <v>824</v>
      </c>
      <c r="V28" s="313">
        <v>53946</v>
      </c>
      <c r="W28" s="313">
        <v>54103</v>
      </c>
      <c r="X28" s="315">
        <v>50070</v>
      </c>
      <c r="AB28" s="318"/>
      <c r="AC28" s="318"/>
      <c r="AD28" s="318"/>
      <c r="AE28" s="318"/>
    </row>
    <row r="29" spans="1:31" ht="35.25" customHeight="1">
      <c r="A29" s="320" t="s">
        <v>1870</v>
      </c>
      <c r="B29" s="311">
        <v>49774301</v>
      </c>
      <c r="C29" s="312" t="s">
        <v>1871</v>
      </c>
      <c r="D29" s="313">
        <v>213.92600000000002</v>
      </c>
      <c r="E29" s="313">
        <v>236.297</v>
      </c>
      <c r="F29" s="313">
        <v>139830</v>
      </c>
      <c r="G29" s="313">
        <v>208212</v>
      </c>
      <c r="H29" s="313">
        <v>0</v>
      </c>
      <c r="I29" s="313">
        <v>256</v>
      </c>
      <c r="J29" s="313">
        <v>1546</v>
      </c>
      <c r="K29" s="313">
        <v>403</v>
      </c>
      <c r="L29" s="313">
        <v>472</v>
      </c>
      <c r="M29" s="313">
        <v>2197</v>
      </c>
      <c r="N29" s="313">
        <f t="shared" si="0"/>
        <v>4874</v>
      </c>
      <c r="O29" s="313">
        <f t="shared" si="1"/>
        <v>139830</v>
      </c>
      <c r="P29" s="313">
        <v>0</v>
      </c>
      <c r="Q29" s="313">
        <v>8194</v>
      </c>
      <c r="R29" s="313">
        <v>0</v>
      </c>
      <c r="S29" s="313">
        <v>322</v>
      </c>
      <c r="T29" s="313">
        <v>322</v>
      </c>
      <c r="U29" s="313">
        <v>2492</v>
      </c>
      <c r="V29" s="313">
        <v>106391</v>
      </c>
      <c r="W29" s="313">
        <v>106713</v>
      </c>
      <c r="X29" s="315">
        <v>89646</v>
      </c>
      <c r="AB29" s="318"/>
      <c r="AC29" s="318"/>
      <c r="AD29" s="318"/>
      <c r="AE29" s="318"/>
    </row>
    <row r="30" spans="1:31" ht="24.75" customHeight="1">
      <c r="A30" s="320" t="s">
        <v>1872</v>
      </c>
      <c r="B30" s="311">
        <v>49778064</v>
      </c>
      <c r="C30" s="312" t="s">
        <v>1873</v>
      </c>
      <c r="D30" s="313">
        <v>68.50800000000001</v>
      </c>
      <c r="E30" s="313">
        <v>81.584000000000003</v>
      </c>
      <c r="F30" s="313">
        <v>34630</v>
      </c>
      <c r="G30" s="313">
        <v>69035</v>
      </c>
      <c r="H30" s="313">
        <v>0</v>
      </c>
      <c r="I30" s="313">
        <v>28</v>
      </c>
      <c r="J30" s="313">
        <v>225</v>
      </c>
      <c r="K30" s="313">
        <v>238</v>
      </c>
      <c r="L30" s="313">
        <v>740</v>
      </c>
      <c r="M30" s="313">
        <v>1232</v>
      </c>
      <c r="N30" s="313">
        <f t="shared" si="0"/>
        <v>2463</v>
      </c>
      <c r="O30" s="313">
        <f t="shared" si="1"/>
        <v>34630</v>
      </c>
      <c r="P30" s="313">
        <v>0</v>
      </c>
      <c r="Q30" s="313">
        <v>3638</v>
      </c>
      <c r="R30" s="313">
        <v>0</v>
      </c>
      <c r="S30" s="313">
        <v>47</v>
      </c>
      <c r="T30" s="313">
        <v>47</v>
      </c>
      <c r="U30" s="313">
        <v>1335</v>
      </c>
      <c r="V30" s="313">
        <v>39119</v>
      </c>
      <c r="W30" s="313">
        <v>39166</v>
      </c>
      <c r="X30" s="315">
        <v>32572</v>
      </c>
      <c r="AB30" s="318"/>
      <c r="AC30" s="318"/>
      <c r="AD30" s="318"/>
      <c r="AE30" s="318"/>
    </row>
    <row r="31" spans="1:31" ht="24.75" customHeight="1">
      <c r="A31" s="320" t="s">
        <v>1874</v>
      </c>
      <c r="B31" s="311">
        <v>66362300</v>
      </c>
      <c r="C31" s="312" t="s">
        <v>1875</v>
      </c>
      <c r="D31" s="313">
        <v>42.854999999999997</v>
      </c>
      <c r="E31" s="313">
        <v>47.036999999999999</v>
      </c>
      <c r="F31" s="313">
        <v>30239</v>
      </c>
      <c r="G31" s="313">
        <v>32160</v>
      </c>
      <c r="H31" s="313">
        <v>0</v>
      </c>
      <c r="I31" s="313">
        <v>281</v>
      </c>
      <c r="J31" s="313">
        <v>113</v>
      </c>
      <c r="K31" s="313">
        <v>1906</v>
      </c>
      <c r="L31" s="313">
        <v>0</v>
      </c>
      <c r="M31" s="313">
        <v>1399</v>
      </c>
      <c r="N31" s="313">
        <f t="shared" si="0"/>
        <v>3699</v>
      </c>
      <c r="O31" s="313">
        <f t="shared" si="1"/>
        <v>30239</v>
      </c>
      <c r="P31" s="313">
        <v>0</v>
      </c>
      <c r="Q31" s="313">
        <v>5076</v>
      </c>
      <c r="R31" s="313">
        <v>0</v>
      </c>
      <c r="S31" s="313">
        <v>63</v>
      </c>
      <c r="T31" s="313">
        <v>63</v>
      </c>
      <c r="U31" s="313">
        <v>393</v>
      </c>
      <c r="V31" s="313">
        <v>22898</v>
      </c>
      <c r="W31" s="313">
        <v>22961</v>
      </c>
      <c r="X31" s="315">
        <v>17690</v>
      </c>
    </row>
    <row r="32" spans="1:31" ht="33" customHeight="1">
      <c r="A32" s="320" t="s">
        <v>1876</v>
      </c>
      <c r="B32" s="317" t="s">
        <v>1877</v>
      </c>
      <c r="C32" s="312" t="s">
        <v>1851</v>
      </c>
      <c r="D32" s="313">
        <v>97.328999999999994</v>
      </c>
      <c r="E32" s="313">
        <v>103.75700000000001</v>
      </c>
      <c r="F32" s="313">
        <v>19943</v>
      </c>
      <c r="G32" s="313">
        <v>27762</v>
      </c>
      <c r="H32" s="313">
        <v>0</v>
      </c>
      <c r="I32" s="313">
        <v>261</v>
      </c>
      <c r="J32" s="313">
        <v>254</v>
      </c>
      <c r="K32" s="313">
        <v>6</v>
      </c>
      <c r="L32" s="313">
        <v>0</v>
      </c>
      <c r="M32" s="313">
        <v>16</v>
      </c>
      <c r="N32" s="313">
        <f t="shared" si="0"/>
        <v>537</v>
      </c>
      <c r="O32" s="313">
        <f t="shared" si="1"/>
        <v>19943</v>
      </c>
      <c r="P32" s="313">
        <v>0</v>
      </c>
      <c r="Q32" s="313">
        <v>10936</v>
      </c>
      <c r="R32" s="313">
        <v>0</v>
      </c>
      <c r="S32" s="313">
        <v>8</v>
      </c>
      <c r="T32" s="313">
        <v>8</v>
      </c>
      <c r="U32" s="313">
        <v>512</v>
      </c>
      <c r="V32" s="313">
        <v>52447</v>
      </c>
      <c r="W32" s="313">
        <v>52455</v>
      </c>
      <c r="X32" s="315">
        <v>51109</v>
      </c>
    </row>
    <row r="33" spans="1:31" ht="34.5" customHeight="1">
      <c r="A33" s="320" t="s">
        <v>1878</v>
      </c>
      <c r="B33" s="311">
        <v>49777629</v>
      </c>
      <c r="C33" s="312" t="s">
        <v>1879</v>
      </c>
      <c r="D33" s="313">
        <v>47.536999999999999</v>
      </c>
      <c r="E33" s="313">
        <v>49.291000000000004</v>
      </c>
      <c r="F33" s="313">
        <v>11740</v>
      </c>
      <c r="G33" s="313">
        <v>15880</v>
      </c>
      <c r="H33" s="313">
        <v>0</v>
      </c>
      <c r="I33" s="313">
        <v>329</v>
      </c>
      <c r="J33" s="313">
        <v>390</v>
      </c>
      <c r="K33" s="313">
        <v>18</v>
      </c>
      <c r="L33" s="313">
        <v>67</v>
      </c>
      <c r="M33" s="313">
        <v>993</v>
      </c>
      <c r="N33" s="313">
        <f t="shared" si="0"/>
        <v>1797</v>
      </c>
      <c r="O33" s="313">
        <f t="shared" si="1"/>
        <v>11740</v>
      </c>
      <c r="P33" s="313">
        <v>0</v>
      </c>
      <c r="Q33" s="313">
        <v>2207</v>
      </c>
      <c r="R33" s="313">
        <v>0</v>
      </c>
      <c r="S33" s="313">
        <v>461</v>
      </c>
      <c r="T33" s="313">
        <v>461</v>
      </c>
      <c r="U33" s="313">
        <v>133</v>
      </c>
      <c r="V33" s="313">
        <v>20710</v>
      </c>
      <c r="W33" s="313">
        <v>21171</v>
      </c>
      <c r="X33" s="315">
        <v>20536</v>
      </c>
      <c r="AB33" s="318"/>
      <c r="AC33" s="318"/>
      <c r="AD33" s="318"/>
      <c r="AE33" s="318"/>
    </row>
    <row r="34" spans="1:31" ht="24.75" customHeight="1">
      <c r="A34" s="320" t="s">
        <v>1880</v>
      </c>
      <c r="B34" s="311">
        <v>45333165</v>
      </c>
      <c r="C34" s="312" t="s">
        <v>1881</v>
      </c>
      <c r="D34" s="313">
        <v>32.655000000000001</v>
      </c>
      <c r="E34" s="313">
        <v>46.295000000000002</v>
      </c>
      <c r="F34" s="313">
        <v>4202</v>
      </c>
      <c r="G34" s="313">
        <v>4885</v>
      </c>
      <c r="H34" s="313">
        <v>0</v>
      </c>
      <c r="I34" s="313">
        <v>833</v>
      </c>
      <c r="J34" s="313">
        <v>341</v>
      </c>
      <c r="K34" s="313">
        <v>1098</v>
      </c>
      <c r="L34" s="313">
        <v>0</v>
      </c>
      <c r="M34" s="313">
        <v>378</v>
      </c>
      <c r="N34" s="313">
        <f t="shared" si="0"/>
        <v>2650</v>
      </c>
      <c r="O34" s="313">
        <f t="shared" si="1"/>
        <v>4202</v>
      </c>
      <c r="P34" s="313">
        <v>0</v>
      </c>
      <c r="Q34" s="313">
        <v>1351</v>
      </c>
      <c r="R34" s="313">
        <v>0</v>
      </c>
      <c r="S34" s="313">
        <v>2</v>
      </c>
      <c r="T34" s="313">
        <v>2</v>
      </c>
      <c r="U34" s="313">
        <v>54</v>
      </c>
      <c r="V34" s="313">
        <v>16530</v>
      </c>
      <c r="W34" s="313">
        <v>16532</v>
      </c>
      <c r="X34" s="315">
        <v>13980</v>
      </c>
    </row>
    <row r="35" spans="1:31" ht="24.75" customHeight="1">
      <c r="A35" s="320" t="s">
        <v>1882</v>
      </c>
      <c r="B35" s="311">
        <v>45330212</v>
      </c>
      <c r="C35" s="312" t="s">
        <v>1883</v>
      </c>
      <c r="D35" s="313">
        <v>12.746</v>
      </c>
      <c r="E35" s="313">
        <v>15.688000000000001</v>
      </c>
      <c r="F35" s="313">
        <v>4712</v>
      </c>
      <c r="G35" s="313">
        <v>5952</v>
      </c>
      <c r="H35" s="313">
        <v>0</v>
      </c>
      <c r="I35" s="313">
        <v>68</v>
      </c>
      <c r="J35" s="313">
        <v>4</v>
      </c>
      <c r="K35" s="313">
        <v>634</v>
      </c>
      <c r="L35" s="313">
        <v>0</v>
      </c>
      <c r="M35" s="313">
        <v>250</v>
      </c>
      <c r="N35" s="313">
        <f t="shared" si="0"/>
        <v>956</v>
      </c>
      <c r="O35" s="313">
        <f t="shared" si="1"/>
        <v>4712</v>
      </c>
      <c r="P35" s="313">
        <v>0</v>
      </c>
      <c r="Q35" s="313">
        <v>1253</v>
      </c>
      <c r="R35" s="313">
        <v>0</v>
      </c>
      <c r="S35" s="313">
        <v>104</v>
      </c>
      <c r="T35" s="313">
        <v>104</v>
      </c>
      <c r="U35" s="313">
        <v>111</v>
      </c>
      <c r="V35" s="313">
        <v>6913</v>
      </c>
      <c r="W35" s="313">
        <v>7017</v>
      </c>
      <c r="X35" s="315">
        <v>5009</v>
      </c>
    </row>
    <row r="36" spans="1:31" ht="24.75" customHeight="1">
      <c r="A36" s="320" t="s">
        <v>1884</v>
      </c>
      <c r="B36" s="311">
        <v>45330221</v>
      </c>
      <c r="C36" s="312" t="s">
        <v>1885</v>
      </c>
      <c r="D36" s="313">
        <v>39.292999999999999</v>
      </c>
      <c r="E36" s="313">
        <v>46.186999999999998</v>
      </c>
      <c r="F36" s="313">
        <v>3362</v>
      </c>
      <c r="G36" s="313">
        <v>7617</v>
      </c>
      <c r="H36" s="313">
        <v>0</v>
      </c>
      <c r="I36" s="313">
        <v>145</v>
      </c>
      <c r="J36" s="313">
        <v>67</v>
      </c>
      <c r="K36" s="313">
        <v>272</v>
      </c>
      <c r="L36" s="313">
        <v>18</v>
      </c>
      <c r="M36" s="313">
        <v>18</v>
      </c>
      <c r="N36" s="313">
        <f t="shared" si="0"/>
        <v>520</v>
      </c>
      <c r="O36" s="313">
        <f t="shared" si="1"/>
        <v>3362</v>
      </c>
      <c r="P36" s="313">
        <v>0</v>
      </c>
      <c r="Q36" s="313">
        <v>2059</v>
      </c>
      <c r="R36" s="313">
        <v>0</v>
      </c>
      <c r="S36" s="319">
        <v>-1</v>
      </c>
      <c r="T36" s="319">
        <v>-1</v>
      </c>
      <c r="U36" s="313">
        <v>72</v>
      </c>
      <c r="V36" s="313">
        <v>18220</v>
      </c>
      <c r="W36" s="313">
        <v>18219</v>
      </c>
      <c r="X36" s="315">
        <v>14999</v>
      </c>
    </row>
    <row r="37" spans="1:31" ht="24.75" customHeight="1">
      <c r="A37" s="320" t="s">
        <v>1886</v>
      </c>
      <c r="B37" s="311">
        <v>45335842</v>
      </c>
      <c r="C37" s="312" t="s">
        <v>1887</v>
      </c>
      <c r="D37" s="313">
        <v>33.607999999999997</v>
      </c>
      <c r="E37" s="313">
        <v>40.677</v>
      </c>
      <c r="F37" s="313">
        <v>4255</v>
      </c>
      <c r="G37" s="313">
        <v>6939</v>
      </c>
      <c r="H37" s="313">
        <v>0</v>
      </c>
      <c r="I37" s="313">
        <v>427</v>
      </c>
      <c r="J37" s="313">
        <v>376</v>
      </c>
      <c r="K37" s="313">
        <v>146</v>
      </c>
      <c r="L37" s="313">
        <v>3</v>
      </c>
      <c r="M37" s="313">
        <v>407</v>
      </c>
      <c r="N37" s="313">
        <f t="shared" si="0"/>
        <v>1359</v>
      </c>
      <c r="O37" s="313">
        <f t="shared" si="1"/>
        <v>4255</v>
      </c>
      <c r="P37" s="313">
        <v>0</v>
      </c>
      <c r="Q37" s="313">
        <v>1440</v>
      </c>
      <c r="R37" s="313">
        <v>0</v>
      </c>
      <c r="S37" s="313">
        <v>2</v>
      </c>
      <c r="T37" s="313">
        <v>2</v>
      </c>
      <c r="U37" s="313">
        <v>103</v>
      </c>
      <c r="V37" s="313">
        <v>14706</v>
      </c>
      <c r="W37" s="313">
        <v>14708</v>
      </c>
      <c r="X37" s="315">
        <v>12508</v>
      </c>
    </row>
    <row r="38" spans="1:31" ht="24.75" customHeight="1">
      <c r="A38" s="320" t="s">
        <v>1888</v>
      </c>
      <c r="B38" s="311">
        <v>45335851</v>
      </c>
      <c r="C38" s="312" t="s">
        <v>1889</v>
      </c>
      <c r="D38" s="313">
        <v>33.127000000000002</v>
      </c>
      <c r="E38" s="313">
        <v>49.195999999999998</v>
      </c>
      <c r="F38" s="313">
        <v>3877</v>
      </c>
      <c r="G38" s="313">
        <v>5006</v>
      </c>
      <c r="H38" s="313">
        <v>0</v>
      </c>
      <c r="I38" s="313">
        <v>326</v>
      </c>
      <c r="J38" s="313">
        <v>240</v>
      </c>
      <c r="K38" s="313">
        <v>717</v>
      </c>
      <c r="L38" s="313">
        <v>0</v>
      </c>
      <c r="M38" s="313">
        <v>52</v>
      </c>
      <c r="N38" s="313">
        <f t="shared" si="0"/>
        <v>1335</v>
      </c>
      <c r="O38" s="313">
        <f t="shared" si="1"/>
        <v>3877</v>
      </c>
      <c r="P38" s="313">
        <v>0</v>
      </c>
      <c r="Q38" s="313">
        <v>1717</v>
      </c>
      <c r="R38" s="313">
        <v>0</v>
      </c>
      <c r="S38" s="313">
        <v>2</v>
      </c>
      <c r="T38" s="313">
        <v>2</v>
      </c>
      <c r="U38" s="313">
        <v>98</v>
      </c>
      <c r="V38" s="313">
        <v>16310</v>
      </c>
      <c r="W38" s="313">
        <v>16312</v>
      </c>
      <c r="X38" s="315">
        <v>13998</v>
      </c>
    </row>
    <row r="39" spans="1:31" ht="24.75" customHeight="1">
      <c r="A39" s="320" t="s">
        <v>1890</v>
      </c>
      <c r="B39" s="311">
        <v>49777718</v>
      </c>
      <c r="C39" s="312" t="s">
        <v>1891</v>
      </c>
      <c r="D39" s="313">
        <v>34.859000000000002</v>
      </c>
      <c r="E39" s="313">
        <v>37.042000000000002</v>
      </c>
      <c r="F39" s="313">
        <v>3797</v>
      </c>
      <c r="G39" s="313">
        <v>7048</v>
      </c>
      <c r="H39" s="313">
        <v>0</v>
      </c>
      <c r="I39" s="313">
        <v>269</v>
      </c>
      <c r="J39" s="313">
        <v>165</v>
      </c>
      <c r="K39" s="313">
        <v>365</v>
      </c>
      <c r="L39" s="313">
        <v>0</v>
      </c>
      <c r="M39" s="313">
        <v>205</v>
      </c>
      <c r="N39" s="313">
        <f t="shared" si="0"/>
        <v>1004</v>
      </c>
      <c r="O39" s="313">
        <f t="shared" si="1"/>
        <v>3797</v>
      </c>
      <c r="P39" s="313">
        <v>0</v>
      </c>
      <c r="Q39" s="313">
        <v>1428</v>
      </c>
      <c r="R39" s="313">
        <v>0</v>
      </c>
      <c r="S39" s="319">
        <v>31</v>
      </c>
      <c r="T39" s="319">
        <v>31</v>
      </c>
      <c r="U39" s="313">
        <v>41</v>
      </c>
      <c r="V39" s="313">
        <v>16897</v>
      </c>
      <c r="W39" s="313">
        <v>16928</v>
      </c>
      <c r="X39" s="315">
        <v>16872</v>
      </c>
    </row>
    <row r="40" spans="1:31" ht="24.75" customHeight="1">
      <c r="A40" s="320" t="s">
        <v>1892</v>
      </c>
      <c r="B40" s="311">
        <v>49777726</v>
      </c>
      <c r="C40" s="312" t="s">
        <v>1893</v>
      </c>
      <c r="D40" s="313">
        <v>30.440999999999999</v>
      </c>
      <c r="E40" s="313">
        <v>34.207000000000001</v>
      </c>
      <c r="F40" s="313">
        <v>2238</v>
      </c>
      <c r="G40" s="313">
        <v>4399</v>
      </c>
      <c r="H40" s="313">
        <v>0</v>
      </c>
      <c r="I40" s="313">
        <v>14</v>
      </c>
      <c r="J40" s="313">
        <v>72</v>
      </c>
      <c r="K40" s="313">
        <v>0</v>
      </c>
      <c r="L40" s="313">
        <v>23</v>
      </c>
      <c r="M40" s="313">
        <v>229</v>
      </c>
      <c r="N40" s="313">
        <f t="shared" si="0"/>
        <v>338</v>
      </c>
      <c r="O40" s="313">
        <f t="shared" si="1"/>
        <v>2238</v>
      </c>
      <c r="P40" s="313">
        <v>0</v>
      </c>
      <c r="Q40" s="313">
        <v>1591</v>
      </c>
      <c r="R40" s="313">
        <v>0</v>
      </c>
      <c r="S40" s="313">
        <v>5</v>
      </c>
      <c r="T40" s="313">
        <v>5</v>
      </c>
      <c r="U40" s="313">
        <v>45</v>
      </c>
      <c r="V40" s="313">
        <v>15410</v>
      </c>
      <c r="W40" s="313">
        <v>15415</v>
      </c>
      <c r="X40" s="315">
        <v>14748</v>
      </c>
    </row>
    <row r="41" spans="1:31" s="318" customFormat="1" ht="24.75" customHeight="1">
      <c r="A41" s="321" t="s">
        <v>1894</v>
      </c>
      <c r="B41" s="322"/>
      <c r="C41" s="323"/>
      <c r="D41" s="324"/>
      <c r="E41" s="324"/>
      <c r="F41" s="324"/>
      <c r="G41" s="325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6"/>
      <c r="Z41" s="118"/>
      <c r="AB41" s="118"/>
      <c r="AC41" s="118"/>
      <c r="AD41" s="118"/>
      <c r="AE41" s="118"/>
    </row>
    <row r="42" spans="1:31" ht="24.75" customHeight="1">
      <c r="A42" s="320" t="s">
        <v>1895</v>
      </c>
      <c r="B42" s="317" t="s">
        <v>1896</v>
      </c>
      <c r="C42" s="312" t="s">
        <v>1897</v>
      </c>
      <c r="D42" s="313">
        <v>60.734999999999999</v>
      </c>
      <c r="E42" s="313">
        <v>65.531000000000006</v>
      </c>
      <c r="F42" s="313">
        <v>55166.81</v>
      </c>
      <c r="G42" s="313">
        <v>75974.06</v>
      </c>
      <c r="H42" s="313">
        <v>0</v>
      </c>
      <c r="I42" s="313">
        <v>216.21</v>
      </c>
      <c r="J42" s="313">
        <v>1231.6500000000001</v>
      </c>
      <c r="K42" s="313">
        <v>606.64</v>
      </c>
      <c r="L42" s="313">
        <v>0.59</v>
      </c>
      <c r="M42" s="313">
        <v>816.4</v>
      </c>
      <c r="N42" s="313">
        <f t="shared" ref="N42:N48" si="2">I42+J42+K42+L42+M42</f>
        <v>2871.4900000000002</v>
      </c>
      <c r="O42" s="313">
        <f t="shared" ref="O42:O48" si="3">F42</f>
        <v>55166.81</v>
      </c>
      <c r="P42" s="313">
        <v>0</v>
      </c>
      <c r="Q42" s="313">
        <v>3143.6</v>
      </c>
      <c r="R42" s="313">
        <v>0</v>
      </c>
      <c r="S42" s="313">
        <v>83.74</v>
      </c>
      <c r="T42" s="313">
        <v>83.74</v>
      </c>
      <c r="U42" s="313">
        <v>700</v>
      </c>
      <c r="V42" s="327">
        <v>30392.22</v>
      </c>
      <c r="W42" s="313">
        <v>30475.96</v>
      </c>
      <c r="X42" s="315">
        <v>27262.47</v>
      </c>
      <c r="AB42" s="316"/>
      <c r="AC42" s="316"/>
      <c r="AD42" s="316"/>
      <c r="AE42" s="316"/>
    </row>
    <row r="43" spans="1:31" ht="24.75" customHeight="1">
      <c r="A43" s="320" t="s">
        <v>1898</v>
      </c>
      <c r="B43" s="317" t="s">
        <v>1899</v>
      </c>
      <c r="C43" s="312" t="s">
        <v>1900</v>
      </c>
      <c r="D43" s="313">
        <v>52.810999999999993</v>
      </c>
      <c r="E43" s="313">
        <v>55.995999999999995</v>
      </c>
      <c r="F43" s="313">
        <v>46461</v>
      </c>
      <c r="G43" s="313">
        <v>59950</v>
      </c>
      <c r="H43" s="313">
        <v>0</v>
      </c>
      <c r="I43" s="313">
        <v>316</v>
      </c>
      <c r="J43" s="313">
        <v>319</v>
      </c>
      <c r="K43" s="313">
        <v>516</v>
      </c>
      <c r="L43" s="313">
        <v>235</v>
      </c>
      <c r="M43" s="313">
        <v>388</v>
      </c>
      <c r="N43" s="313">
        <f t="shared" si="2"/>
        <v>1774</v>
      </c>
      <c r="O43" s="313">
        <f t="shared" si="3"/>
        <v>46461</v>
      </c>
      <c r="P43" s="313">
        <v>0</v>
      </c>
      <c r="Q43" s="313">
        <v>3169</v>
      </c>
      <c r="R43" s="313">
        <v>0</v>
      </c>
      <c r="S43" s="313">
        <v>68</v>
      </c>
      <c r="T43" s="313">
        <v>68</v>
      </c>
      <c r="U43" s="313">
        <v>811</v>
      </c>
      <c r="V43" s="327">
        <v>27981</v>
      </c>
      <c r="W43" s="313">
        <v>28049</v>
      </c>
      <c r="X43" s="315">
        <v>24621</v>
      </c>
      <c r="AB43" s="316"/>
      <c r="AC43" s="316"/>
      <c r="AD43" s="316"/>
      <c r="AE43" s="316"/>
    </row>
    <row r="44" spans="1:31" ht="33.75" customHeight="1">
      <c r="A44" s="320" t="s">
        <v>1901</v>
      </c>
      <c r="B44" s="317" t="s">
        <v>1902</v>
      </c>
      <c r="C44" s="312" t="s">
        <v>1903</v>
      </c>
      <c r="D44" s="313">
        <v>53.994999999999997</v>
      </c>
      <c r="E44" s="313">
        <v>59.084000000000003</v>
      </c>
      <c r="F44" s="313">
        <v>13498.55</v>
      </c>
      <c r="G44" s="313">
        <v>26957.3</v>
      </c>
      <c r="H44" s="313">
        <v>0</v>
      </c>
      <c r="I44" s="313">
        <v>269.63</v>
      </c>
      <c r="J44" s="313">
        <v>39.22</v>
      </c>
      <c r="K44" s="313">
        <v>365.82</v>
      </c>
      <c r="L44" s="313">
        <v>0</v>
      </c>
      <c r="M44" s="313">
        <v>215.75</v>
      </c>
      <c r="N44" s="313">
        <f t="shared" si="2"/>
        <v>890.42000000000007</v>
      </c>
      <c r="O44" s="313">
        <f t="shared" si="3"/>
        <v>13498.55</v>
      </c>
      <c r="P44" s="313">
        <v>0</v>
      </c>
      <c r="Q44" s="313">
        <v>2715.54</v>
      </c>
      <c r="R44" s="313">
        <v>0</v>
      </c>
      <c r="S44" s="313">
        <v>164.84</v>
      </c>
      <c r="T44" s="313">
        <v>164.84</v>
      </c>
      <c r="U44" s="313">
        <v>250</v>
      </c>
      <c r="V44" s="327">
        <v>27277.57</v>
      </c>
      <c r="W44" s="313">
        <v>27442.41</v>
      </c>
      <c r="X44" s="315">
        <v>23658.03</v>
      </c>
      <c r="AB44" s="318"/>
      <c r="AC44" s="318"/>
      <c r="AD44" s="318"/>
      <c r="AE44" s="318"/>
    </row>
    <row r="45" spans="1:31" ht="24.75" customHeight="1">
      <c r="A45" s="320" t="s">
        <v>1904</v>
      </c>
      <c r="B45" s="317" t="s">
        <v>1905</v>
      </c>
      <c r="C45" s="312" t="s">
        <v>1906</v>
      </c>
      <c r="D45" s="313">
        <v>30.007999999999999</v>
      </c>
      <c r="E45" s="313">
        <v>30</v>
      </c>
      <c r="F45" s="313">
        <v>20967</v>
      </c>
      <c r="G45" s="313">
        <v>23840</v>
      </c>
      <c r="H45" s="313">
        <v>0</v>
      </c>
      <c r="I45" s="313">
        <v>401</v>
      </c>
      <c r="J45" s="313">
        <v>8</v>
      </c>
      <c r="K45" s="313">
        <v>164</v>
      </c>
      <c r="L45" s="313">
        <v>1418</v>
      </c>
      <c r="M45" s="313">
        <v>476</v>
      </c>
      <c r="N45" s="313">
        <f t="shared" si="2"/>
        <v>2467</v>
      </c>
      <c r="O45" s="313">
        <f t="shared" si="3"/>
        <v>20967</v>
      </c>
      <c r="P45" s="313">
        <v>0</v>
      </c>
      <c r="Q45" s="313">
        <v>1219</v>
      </c>
      <c r="R45" s="313">
        <v>0</v>
      </c>
      <c r="S45" s="313">
        <v>25</v>
      </c>
      <c r="T45" s="313">
        <v>25</v>
      </c>
      <c r="U45" s="313">
        <v>192</v>
      </c>
      <c r="V45" s="327">
        <v>12821</v>
      </c>
      <c r="W45" s="313">
        <v>12846</v>
      </c>
      <c r="X45" s="315">
        <v>11741</v>
      </c>
    </row>
    <row r="46" spans="1:31" ht="24.75" customHeight="1">
      <c r="A46" s="320" t="s">
        <v>1907</v>
      </c>
      <c r="B46" s="317" t="s">
        <v>1908</v>
      </c>
      <c r="C46" s="312" t="s">
        <v>1909</v>
      </c>
      <c r="D46" s="313">
        <v>44.485999999999997</v>
      </c>
      <c r="E46" s="313">
        <v>44.860999999999997</v>
      </c>
      <c r="F46" s="313">
        <v>18701</v>
      </c>
      <c r="G46" s="313">
        <v>16865</v>
      </c>
      <c r="H46" s="313">
        <v>0</v>
      </c>
      <c r="I46" s="313">
        <v>199</v>
      </c>
      <c r="J46" s="313">
        <v>132</v>
      </c>
      <c r="K46" s="313">
        <v>1300</v>
      </c>
      <c r="L46" s="313">
        <v>2283</v>
      </c>
      <c r="M46" s="313">
        <v>1504</v>
      </c>
      <c r="N46" s="313">
        <f t="shared" si="2"/>
        <v>5418</v>
      </c>
      <c r="O46" s="313">
        <f t="shared" si="3"/>
        <v>18701</v>
      </c>
      <c r="P46" s="313">
        <v>0</v>
      </c>
      <c r="Q46" s="313">
        <v>1680</v>
      </c>
      <c r="R46" s="313">
        <v>0</v>
      </c>
      <c r="S46" s="313">
        <v>444</v>
      </c>
      <c r="T46" s="313">
        <v>444</v>
      </c>
      <c r="U46" s="313">
        <v>274</v>
      </c>
      <c r="V46" s="327">
        <v>18551</v>
      </c>
      <c r="W46" s="313">
        <v>18995</v>
      </c>
      <c r="X46" s="315">
        <v>17886</v>
      </c>
    </row>
    <row r="47" spans="1:31" ht="24.75" customHeight="1">
      <c r="A47" s="320" t="s">
        <v>1910</v>
      </c>
      <c r="B47" s="317" t="s">
        <v>1911</v>
      </c>
      <c r="C47" s="312" t="s">
        <v>1912</v>
      </c>
      <c r="D47" s="313">
        <v>5.6050000000000004</v>
      </c>
      <c r="E47" s="313">
        <v>5.9169999999999998</v>
      </c>
      <c r="F47" s="313">
        <v>3095</v>
      </c>
      <c r="G47" s="313">
        <v>4028</v>
      </c>
      <c r="H47" s="313">
        <v>0</v>
      </c>
      <c r="I47" s="313">
        <v>44</v>
      </c>
      <c r="J47" s="313">
        <v>22</v>
      </c>
      <c r="K47" s="313">
        <v>522</v>
      </c>
      <c r="L47" s="313">
        <v>11</v>
      </c>
      <c r="M47" s="313">
        <v>218</v>
      </c>
      <c r="N47" s="313">
        <f t="shared" si="2"/>
        <v>817</v>
      </c>
      <c r="O47" s="313">
        <f t="shared" si="3"/>
        <v>3095</v>
      </c>
      <c r="P47" s="313">
        <v>0</v>
      </c>
      <c r="Q47" s="313">
        <v>352</v>
      </c>
      <c r="R47" s="313">
        <v>0</v>
      </c>
      <c r="S47" s="313">
        <v>41</v>
      </c>
      <c r="T47" s="313">
        <v>41</v>
      </c>
      <c r="U47" s="313">
        <v>44</v>
      </c>
      <c r="V47" s="327">
        <v>2842</v>
      </c>
      <c r="W47" s="313">
        <v>2883</v>
      </c>
      <c r="X47" s="315">
        <v>2204</v>
      </c>
    </row>
    <row r="48" spans="1:31" ht="24.75" customHeight="1">
      <c r="A48" s="320" t="s">
        <v>1913</v>
      </c>
      <c r="B48" s="317" t="s">
        <v>1914</v>
      </c>
      <c r="C48" s="312" t="s">
        <v>1915</v>
      </c>
      <c r="D48" s="313">
        <v>67.275999999999996</v>
      </c>
      <c r="E48" s="313">
        <v>66.914000000000001</v>
      </c>
      <c r="F48" s="313">
        <v>38736</v>
      </c>
      <c r="G48" s="313">
        <v>50518</v>
      </c>
      <c r="H48" s="313">
        <v>0</v>
      </c>
      <c r="I48" s="313">
        <v>100</v>
      </c>
      <c r="J48" s="313">
        <v>97</v>
      </c>
      <c r="K48" s="313">
        <v>255</v>
      </c>
      <c r="L48" s="313">
        <v>15</v>
      </c>
      <c r="M48" s="313">
        <v>4588</v>
      </c>
      <c r="N48" s="313">
        <f t="shared" si="2"/>
        <v>5055</v>
      </c>
      <c r="O48" s="313">
        <f t="shared" si="3"/>
        <v>38736</v>
      </c>
      <c r="P48" s="313">
        <v>0</v>
      </c>
      <c r="Q48" s="313">
        <v>7499</v>
      </c>
      <c r="R48" s="313">
        <v>0</v>
      </c>
      <c r="S48" s="313">
        <v>55</v>
      </c>
      <c r="T48" s="313">
        <v>55</v>
      </c>
      <c r="U48" s="313">
        <v>792</v>
      </c>
      <c r="V48" s="327">
        <v>32048</v>
      </c>
      <c r="W48" s="313">
        <v>32103</v>
      </c>
      <c r="X48" s="315">
        <v>31091</v>
      </c>
    </row>
    <row r="49" spans="1:31" s="318" customFormat="1" ht="24.75" customHeight="1">
      <c r="A49" s="321" t="s">
        <v>1916</v>
      </c>
      <c r="B49" s="328"/>
      <c r="C49" s="323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5"/>
      <c r="W49" s="324"/>
      <c r="X49" s="326"/>
      <c r="Z49" s="118"/>
      <c r="AB49" s="118"/>
      <c r="AC49" s="118"/>
      <c r="AD49" s="118"/>
      <c r="AE49" s="118"/>
    </row>
    <row r="50" spans="1:31" ht="24.75" customHeight="1">
      <c r="A50" s="320" t="s">
        <v>1917</v>
      </c>
      <c r="B50" s="317" t="s">
        <v>1918</v>
      </c>
      <c r="C50" s="312" t="s">
        <v>1919</v>
      </c>
      <c r="D50" s="313">
        <v>16.190000000000001</v>
      </c>
      <c r="E50" s="313">
        <v>17.02</v>
      </c>
      <c r="F50" s="313">
        <v>25676.01</v>
      </c>
      <c r="G50" s="313">
        <v>37558.9</v>
      </c>
      <c r="H50" s="313">
        <v>0</v>
      </c>
      <c r="I50" s="313">
        <v>0</v>
      </c>
      <c r="J50" s="313">
        <v>95.66</v>
      </c>
      <c r="K50" s="313">
        <v>0</v>
      </c>
      <c r="L50" s="313">
        <v>0</v>
      </c>
      <c r="M50" s="313">
        <v>3980.73</v>
      </c>
      <c r="N50" s="313">
        <f t="shared" ref="N50:N56" si="4">I50+J50+K50+L50+M50</f>
        <v>4076.39</v>
      </c>
      <c r="O50" s="313">
        <f t="shared" ref="O50:O56" si="5">F50</f>
        <v>25676.01</v>
      </c>
      <c r="P50" s="313">
        <v>0</v>
      </c>
      <c r="Q50" s="313">
        <v>5072.78</v>
      </c>
      <c r="R50" s="313">
        <v>0</v>
      </c>
      <c r="S50" s="319">
        <v>-4212.34</v>
      </c>
      <c r="T50" s="319">
        <v>-4212.34</v>
      </c>
      <c r="U50" s="313">
        <v>191.81</v>
      </c>
      <c r="V50" s="327">
        <v>15059.59</v>
      </c>
      <c r="W50" s="313">
        <v>10847.25</v>
      </c>
      <c r="X50" s="315">
        <v>4649.1899999999996</v>
      </c>
    </row>
    <row r="51" spans="1:31" ht="24.75" customHeight="1">
      <c r="A51" s="320" t="s">
        <v>1920</v>
      </c>
      <c r="B51" s="317" t="s">
        <v>1921</v>
      </c>
      <c r="C51" s="312" t="s">
        <v>1922</v>
      </c>
      <c r="D51" s="313">
        <v>30.598999999999997</v>
      </c>
      <c r="E51" s="313">
        <v>34.225999999999999</v>
      </c>
      <c r="F51" s="313">
        <v>38341.31</v>
      </c>
      <c r="G51" s="313">
        <v>50308.37</v>
      </c>
      <c r="H51" s="313">
        <v>0</v>
      </c>
      <c r="I51" s="313">
        <v>116.06</v>
      </c>
      <c r="J51" s="313">
        <v>215.69</v>
      </c>
      <c r="K51" s="313">
        <v>214.71</v>
      </c>
      <c r="L51" s="313">
        <v>364.61</v>
      </c>
      <c r="M51" s="313">
        <v>420.56</v>
      </c>
      <c r="N51" s="313">
        <f t="shared" si="4"/>
        <v>1331.63</v>
      </c>
      <c r="O51" s="313">
        <f t="shared" si="5"/>
        <v>38341.31</v>
      </c>
      <c r="P51" s="313">
        <v>0</v>
      </c>
      <c r="Q51" s="313">
        <v>2306.81</v>
      </c>
      <c r="R51" s="313">
        <v>0</v>
      </c>
      <c r="S51" s="313">
        <v>99.68</v>
      </c>
      <c r="T51" s="313">
        <v>99.68</v>
      </c>
      <c r="U51" s="313">
        <v>360</v>
      </c>
      <c r="V51" s="327">
        <v>18810.349999999999</v>
      </c>
      <c r="W51" s="313">
        <v>18910.03</v>
      </c>
      <c r="X51" s="315">
        <v>15950.46</v>
      </c>
    </row>
    <row r="52" spans="1:31" ht="24.75" customHeight="1">
      <c r="A52" s="320" t="s">
        <v>1923</v>
      </c>
      <c r="B52" s="317" t="s">
        <v>1924</v>
      </c>
      <c r="C52" s="312" t="s">
        <v>1925</v>
      </c>
      <c r="D52" s="313">
        <v>9.0060000000000002</v>
      </c>
      <c r="E52" s="313">
        <v>10.14</v>
      </c>
      <c r="F52" s="313">
        <v>1364</v>
      </c>
      <c r="G52" s="313">
        <v>1256</v>
      </c>
      <c r="H52" s="313">
        <v>0</v>
      </c>
      <c r="I52" s="313">
        <v>108</v>
      </c>
      <c r="J52" s="313">
        <v>13</v>
      </c>
      <c r="K52" s="313">
        <v>118</v>
      </c>
      <c r="L52" s="313">
        <v>0</v>
      </c>
      <c r="M52" s="313">
        <v>151</v>
      </c>
      <c r="N52" s="313">
        <f t="shared" si="4"/>
        <v>390</v>
      </c>
      <c r="O52" s="313">
        <f t="shared" si="5"/>
        <v>1364</v>
      </c>
      <c r="P52" s="313">
        <v>0</v>
      </c>
      <c r="Q52" s="313">
        <v>888</v>
      </c>
      <c r="R52" s="313">
        <v>0</v>
      </c>
      <c r="S52" s="319">
        <v>86</v>
      </c>
      <c r="T52" s="319">
        <v>86</v>
      </c>
      <c r="U52" s="313">
        <v>1</v>
      </c>
      <c r="V52" s="327">
        <v>4535</v>
      </c>
      <c r="W52" s="313">
        <v>4621</v>
      </c>
      <c r="X52" s="315">
        <v>4616</v>
      </c>
    </row>
    <row r="53" spans="1:31" ht="24.75" customHeight="1">
      <c r="A53" s="320" t="s">
        <v>1926</v>
      </c>
      <c r="B53" s="317" t="s">
        <v>1927</v>
      </c>
      <c r="C53" s="312" t="s">
        <v>1928</v>
      </c>
      <c r="D53" s="313">
        <v>28.314</v>
      </c>
      <c r="E53" s="313">
        <v>29.658000000000001</v>
      </c>
      <c r="F53" s="313">
        <v>16357</v>
      </c>
      <c r="G53" s="313">
        <v>27894</v>
      </c>
      <c r="H53" s="313">
        <v>0</v>
      </c>
      <c r="I53" s="313">
        <v>0</v>
      </c>
      <c r="J53" s="313">
        <v>529</v>
      </c>
      <c r="K53" s="313">
        <v>221</v>
      </c>
      <c r="L53" s="313">
        <v>0</v>
      </c>
      <c r="M53" s="313">
        <v>120</v>
      </c>
      <c r="N53" s="313">
        <f t="shared" si="4"/>
        <v>870</v>
      </c>
      <c r="O53" s="313">
        <f t="shared" si="5"/>
        <v>16357</v>
      </c>
      <c r="P53" s="313">
        <v>0</v>
      </c>
      <c r="Q53" s="313">
        <v>1552</v>
      </c>
      <c r="R53" s="313">
        <v>0</v>
      </c>
      <c r="S53" s="313">
        <v>48</v>
      </c>
      <c r="T53" s="313">
        <v>48</v>
      </c>
      <c r="U53" s="313">
        <v>415</v>
      </c>
      <c r="V53" s="327">
        <v>14206</v>
      </c>
      <c r="W53" s="313">
        <v>14254</v>
      </c>
      <c r="X53" s="315">
        <v>12047</v>
      </c>
    </row>
    <row r="54" spans="1:31" ht="24.75" customHeight="1">
      <c r="A54" s="320" t="s">
        <v>1929</v>
      </c>
      <c r="B54" s="317" t="s">
        <v>1930</v>
      </c>
      <c r="C54" s="312" t="s">
        <v>1931</v>
      </c>
      <c r="D54" s="313">
        <v>22.6</v>
      </c>
      <c r="E54" s="313">
        <v>25.475999999999999</v>
      </c>
      <c r="F54" s="313">
        <v>3589</v>
      </c>
      <c r="G54" s="313">
        <v>5720</v>
      </c>
      <c r="H54" s="313">
        <v>0</v>
      </c>
      <c r="I54" s="313">
        <v>19</v>
      </c>
      <c r="J54" s="313">
        <v>21</v>
      </c>
      <c r="K54" s="313">
        <v>3</v>
      </c>
      <c r="L54" s="313">
        <v>0</v>
      </c>
      <c r="M54" s="313">
        <v>448</v>
      </c>
      <c r="N54" s="313">
        <f t="shared" si="4"/>
        <v>491</v>
      </c>
      <c r="O54" s="313">
        <f t="shared" si="5"/>
        <v>3589</v>
      </c>
      <c r="P54" s="313">
        <v>0</v>
      </c>
      <c r="Q54" s="313">
        <v>2247</v>
      </c>
      <c r="R54" s="313">
        <v>0</v>
      </c>
      <c r="S54" s="313">
        <v>33</v>
      </c>
      <c r="T54" s="313">
        <v>33</v>
      </c>
      <c r="U54" s="313">
        <v>121</v>
      </c>
      <c r="V54" s="313">
        <v>12124</v>
      </c>
      <c r="W54" s="313">
        <v>12157</v>
      </c>
      <c r="X54" s="315">
        <v>9288</v>
      </c>
    </row>
    <row r="55" spans="1:31" ht="24.75" customHeight="1">
      <c r="A55" s="320" t="s">
        <v>1932</v>
      </c>
      <c r="B55" s="317" t="s">
        <v>1933</v>
      </c>
      <c r="C55" s="312" t="s">
        <v>1934</v>
      </c>
      <c r="D55" s="313">
        <v>28.629000000000001</v>
      </c>
      <c r="E55" s="313">
        <v>31.79</v>
      </c>
      <c r="F55" s="313">
        <v>23589</v>
      </c>
      <c r="G55" s="313">
        <v>28030</v>
      </c>
      <c r="H55" s="313">
        <v>0</v>
      </c>
      <c r="I55" s="313">
        <v>4</v>
      </c>
      <c r="J55" s="313">
        <v>307</v>
      </c>
      <c r="K55" s="313">
        <v>0</v>
      </c>
      <c r="L55" s="313">
        <v>0</v>
      </c>
      <c r="M55" s="313">
        <v>145</v>
      </c>
      <c r="N55" s="313">
        <f t="shared" si="4"/>
        <v>456</v>
      </c>
      <c r="O55" s="313">
        <f t="shared" si="5"/>
        <v>23589</v>
      </c>
      <c r="P55" s="313">
        <v>0</v>
      </c>
      <c r="Q55" s="313">
        <v>3889</v>
      </c>
      <c r="R55" s="313">
        <v>0</v>
      </c>
      <c r="S55" s="319">
        <v>-1</v>
      </c>
      <c r="T55" s="319">
        <v>-1</v>
      </c>
      <c r="U55" s="313">
        <v>206</v>
      </c>
      <c r="V55" s="313">
        <v>15348</v>
      </c>
      <c r="W55" s="313">
        <v>15347</v>
      </c>
      <c r="X55" s="315">
        <v>15249</v>
      </c>
    </row>
    <row r="56" spans="1:31" ht="24.75" customHeight="1">
      <c r="A56" s="320" t="s">
        <v>1935</v>
      </c>
      <c r="B56" s="317" t="s">
        <v>1936</v>
      </c>
      <c r="C56" s="312" t="s">
        <v>1937</v>
      </c>
      <c r="D56" s="313">
        <v>38.857000000000006</v>
      </c>
      <c r="E56" s="313">
        <v>41.526000000000003</v>
      </c>
      <c r="F56" s="313">
        <v>6762</v>
      </c>
      <c r="G56" s="313">
        <v>6450</v>
      </c>
      <c r="H56" s="313">
        <v>0</v>
      </c>
      <c r="I56" s="313">
        <v>47</v>
      </c>
      <c r="J56" s="313">
        <v>150</v>
      </c>
      <c r="K56" s="313">
        <v>305</v>
      </c>
      <c r="L56" s="313">
        <v>0</v>
      </c>
      <c r="M56" s="313">
        <v>537</v>
      </c>
      <c r="N56" s="313">
        <f t="shared" si="4"/>
        <v>1039</v>
      </c>
      <c r="O56" s="313">
        <f t="shared" si="5"/>
        <v>6762</v>
      </c>
      <c r="P56" s="313">
        <v>0</v>
      </c>
      <c r="Q56" s="313">
        <v>5666</v>
      </c>
      <c r="R56" s="313">
        <v>0</v>
      </c>
      <c r="S56" s="313">
        <v>49</v>
      </c>
      <c r="T56" s="313">
        <v>49</v>
      </c>
      <c r="U56" s="313">
        <v>15</v>
      </c>
      <c r="V56" s="313">
        <v>18457</v>
      </c>
      <c r="W56" s="313">
        <v>18506</v>
      </c>
      <c r="X56" s="315">
        <v>18241</v>
      </c>
    </row>
    <row r="57" spans="1:31" s="318" customFormat="1" ht="24.75" customHeight="1">
      <c r="A57" s="321" t="s">
        <v>1938</v>
      </c>
      <c r="B57" s="328"/>
      <c r="C57" s="323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6"/>
      <c r="Z57" s="118"/>
      <c r="AB57" s="118"/>
      <c r="AC57" s="118"/>
      <c r="AD57" s="118"/>
      <c r="AE57" s="118"/>
    </row>
    <row r="58" spans="1:31" s="318" customFormat="1" ht="24.75" customHeight="1">
      <c r="A58" s="320" t="s">
        <v>1939</v>
      </c>
      <c r="B58" s="317" t="s">
        <v>1940</v>
      </c>
      <c r="C58" s="312" t="s">
        <v>1941</v>
      </c>
      <c r="D58" s="313">
        <v>78.89</v>
      </c>
      <c r="E58" s="313">
        <v>84.003</v>
      </c>
      <c r="F58" s="313">
        <v>59462</v>
      </c>
      <c r="G58" s="313">
        <v>81473</v>
      </c>
      <c r="H58" s="313">
        <v>0</v>
      </c>
      <c r="I58" s="313">
        <v>67</v>
      </c>
      <c r="J58" s="313">
        <v>648</v>
      </c>
      <c r="K58" s="313">
        <v>0</v>
      </c>
      <c r="L58" s="313">
        <v>1031</v>
      </c>
      <c r="M58" s="313">
        <v>0</v>
      </c>
      <c r="N58" s="313">
        <f>SUM(I58:M58)</f>
        <v>1746</v>
      </c>
      <c r="O58" s="313">
        <v>59462</v>
      </c>
      <c r="P58" s="313">
        <v>0</v>
      </c>
      <c r="Q58" s="313">
        <v>3798</v>
      </c>
      <c r="R58" s="313">
        <v>0</v>
      </c>
      <c r="S58" s="319">
        <v>-231</v>
      </c>
      <c r="T58" s="319">
        <v>-244</v>
      </c>
      <c r="U58" s="313">
        <v>450</v>
      </c>
      <c r="V58" s="313">
        <v>41412</v>
      </c>
      <c r="W58" s="313">
        <v>41181</v>
      </c>
      <c r="X58" s="315">
        <v>36411</v>
      </c>
      <c r="Z58" s="118"/>
      <c r="AB58" s="118"/>
      <c r="AC58" s="118"/>
      <c r="AD58" s="118"/>
      <c r="AE58" s="118"/>
    </row>
    <row r="59" spans="1:31" s="318" customFormat="1" ht="24.75" customHeight="1">
      <c r="A59" s="320" t="s">
        <v>1942</v>
      </c>
      <c r="B59" s="317" t="s">
        <v>1943</v>
      </c>
      <c r="C59" s="312" t="s">
        <v>1944</v>
      </c>
      <c r="D59" s="313">
        <v>7.9749999999999996</v>
      </c>
      <c r="E59" s="313">
        <v>8.0489999999999995</v>
      </c>
      <c r="F59" s="313">
        <v>15972</v>
      </c>
      <c r="G59" s="313">
        <v>17456</v>
      </c>
      <c r="H59" s="313">
        <v>0</v>
      </c>
      <c r="I59" s="313">
        <v>139</v>
      </c>
      <c r="J59" s="313">
        <v>28</v>
      </c>
      <c r="K59" s="313">
        <v>325</v>
      </c>
      <c r="L59" s="313">
        <v>675</v>
      </c>
      <c r="M59" s="313">
        <v>689</v>
      </c>
      <c r="N59" s="313">
        <f>SUM(I59:M59)</f>
        <v>1856</v>
      </c>
      <c r="O59" s="313">
        <v>15972</v>
      </c>
      <c r="P59" s="313">
        <v>0</v>
      </c>
      <c r="Q59" s="313">
        <v>796</v>
      </c>
      <c r="R59" s="313">
        <v>0</v>
      </c>
      <c r="S59" s="313">
        <v>96</v>
      </c>
      <c r="T59" s="313">
        <v>96</v>
      </c>
      <c r="U59" s="313">
        <v>250</v>
      </c>
      <c r="V59" s="313">
        <v>5297</v>
      </c>
      <c r="W59" s="313">
        <v>5393</v>
      </c>
      <c r="X59" s="315">
        <v>4193</v>
      </c>
      <c r="Z59" s="118"/>
      <c r="AB59" s="118"/>
      <c r="AC59" s="118"/>
      <c r="AD59" s="118"/>
      <c r="AE59" s="118"/>
    </row>
    <row r="60" spans="1:31" s="318" customFormat="1" ht="24.75" customHeight="1">
      <c r="A60" s="320" t="s">
        <v>1945</v>
      </c>
      <c r="B60" s="317" t="s">
        <v>1946</v>
      </c>
      <c r="C60" s="312" t="s">
        <v>1947</v>
      </c>
      <c r="D60" s="313">
        <v>30.728999999999999</v>
      </c>
      <c r="E60" s="313">
        <v>36.180999999999997</v>
      </c>
      <c r="F60" s="313">
        <v>16253</v>
      </c>
      <c r="G60" s="313">
        <v>19852</v>
      </c>
      <c r="H60" s="313">
        <v>0</v>
      </c>
      <c r="I60" s="313">
        <v>267</v>
      </c>
      <c r="J60" s="313">
        <v>325</v>
      </c>
      <c r="K60" s="313">
        <v>1021</v>
      </c>
      <c r="L60" s="313">
        <v>0</v>
      </c>
      <c r="M60" s="313">
        <v>1108</v>
      </c>
      <c r="N60" s="313">
        <f>SUM(I60:M60)</f>
        <v>2721</v>
      </c>
      <c r="O60" s="313">
        <v>16253</v>
      </c>
      <c r="P60" s="313">
        <v>0</v>
      </c>
      <c r="Q60" s="313">
        <v>1310</v>
      </c>
      <c r="R60" s="313">
        <v>0</v>
      </c>
      <c r="S60" s="313">
        <v>160</v>
      </c>
      <c r="T60" s="313">
        <v>160</v>
      </c>
      <c r="U60" s="313">
        <v>94</v>
      </c>
      <c r="V60" s="313">
        <v>14578</v>
      </c>
      <c r="W60" s="313">
        <v>14738</v>
      </c>
      <c r="X60" s="315">
        <v>12643</v>
      </c>
      <c r="Z60" s="118"/>
      <c r="AB60" s="118"/>
      <c r="AC60" s="118"/>
      <c r="AD60" s="118"/>
      <c r="AE60" s="118"/>
    </row>
    <row r="61" spans="1:31" s="318" customFormat="1" ht="24.75" customHeight="1">
      <c r="A61" s="320" t="s">
        <v>1948</v>
      </c>
      <c r="B61" s="317" t="s">
        <v>1949</v>
      </c>
      <c r="C61" s="312" t="s">
        <v>1950</v>
      </c>
      <c r="D61" s="313">
        <v>18.372</v>
      </c>
      <c r="E61" s="313">
        <v>20.099</v>
      </c>
      <c r="F61" s="313">
        <v>29800</v>
      </c>
      <c r="G61" s="313">
        <v>34319</v>
      </c>
      <c r="H61" s="313">
        <v>0</v>
      </c>
      <c r="I61" s="313">
        <v>57</v>
      </c>
      <c r="J61" s="313">
        <v>141</v>
      </c>
      <c r="K61" s="313">
        <v>427</v>
      </c>
      <c r="L61" s="313">
        <v>0</v>
      </c>
      <c r="M61" s="313">
        <v>1955</v>
      </c>
      <c r="N61" s="313">
        <f>SUM(I61:M61)</f>
        <v>2580</v>
      </c>
      <c r="O61" s="313">
        <v>29800</v>
      </c>
      <c r="P61" s="313">
        <v>0</v>
      </c>
      <c r="Q61" s="313">
        <v>735</v>
      </c>
      <c r="R61" s="313">
        <v>0</v>
      </c>
      <c r="S61" s="313">
        <v>0</v>
      </c>
      <c r="T61" s="313">
        <v>0</v>
      </c>
      <c r="U61" s="313">
        <v>406</v>
      </c>
      <c r="V61" s="313">
        <v>9115</v>
      </c>
      <c r="W61" s="313">
        <v>9115</v>
      </c>
      <c r="X61" s="315">
        <v>9087</v>
      </c>
      <c r="Z61" s="118"/>
      <c r="AB61" s="118"/>
      <c r="AC61" s="118"/>
      <c r="AD61" s="118"/>
      <c r="AE61" s="118"/>
    </row>
    <row r="62" spans="1:31" s="318" customFormat="1" ht="24.75" customHeight="1">
      <c r="A62" s="320" t="s">
        <v>1951</v>
      </c>
      <c r="B62" s="317" t="s">
        <v>1952</v>
      </c>
      <c r="C62" s="312" t="s">
        <v>1953</v>
      </c>
      <c r="D62" s="313">
        <v>79.488</v>
      </c>
      <c r="E62" s="313">
        <v>84.567999999999984</v>
      </c>
      <c r="F62" s="313">
        <v>129968</v>
      </c>
      <c r="G62" s="313">
        <v>149320</v>
      </c>
      <c r="H62" s="313">
        <v>0</v>
      </c>
      <c r="I62" s="313">
        <v>122</v>
      </c>
      <c r="J62" s="313">
        <v>21</v>
      </c>
      <c r="K62" s="313">
        <v>128</v>
      </c>
      <c r="L62" s="313">
        <v>83</v>
      </c>
      <c r="M62" s="313">
        <v>78</v>
      </c>
      <c r="N62" s="313">
        <f>SUM(I62:M62)</f>
        <v>432</v>
      </c>
      <c r="O62" s="313">
        <v>129968</v>
      </c>
      <c r="P62" s="313">
        <v>0</v>
      </c>
      <c r="Q62" s="313">
        <v>3756</v>
      </c>
      <c r="R62" s="313">
        <v>0</v>
      </c>
      <c r="S62" s="313">
        <v>157</v>
      </c>
      <c r="T62" s="313">
        <v>157</v>
      </c>
      <c r="U62" s="313">
        <v>800</v>
      </c>
      <c r="V62" s="313">
        <v>40188</v>
      </c>
      <c r="W62" s="313">
        <v>40345</v>
      </c>
      <c r="X62" s="315">
        <v>36782</v>
      </c>
      <c r="Z62" s="118"/>
      <c r="AB62" s="118"/>
      <c r="AC62" s="118"/>
      <c r="AD62" s="118"/>
      <c r="AE62" s="118"/>
    </row>
    <row r="63" spans="1:31" s="318" customFormat="1" ht="24.75" customHeight="1">
      <c r="A63" s="321" t="s">
        <v>1954</v>
      </c>
      <c r="B63" s="328"/>
      <c r="C63" s="323"/>
      <c r="D63" s="324"/>
      <c r="E63" s="324"/>
      <c r="F63" s="324"/>
      <c r="G63" s="324"/>
      <c r="H63" s="324"/>
      <c r="I63" s="325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5"/>
      <c r="U63" s="324"/>
      <c r="V63" s="324"/>
      <c r="W63" s="324"/>
      <c r="X63" s="326"/>
      <c r="Y63" s="329"/>
      <c r="Z63" s="118"/>
      <c r="AB63" s="118"/>
      <c r="AC63" s="118"/>
      <c r="AD63" s="118"/>
      <c r="AE63" s="118"/>
    </row>
    <row r="64" spans="1:31" s="318" customFormat="1" ht="24.75" customHeight="1">
      <c r="A64" s="320" t="s">
        <v>1955</v>
      </c>
      <c r="B64" s="317" t="s">
        <v>1956</v>
      </c>
      <c r="C64" s="312" t="s">
        <v>1957</v>
      </c>
      <c r="D64" s="313">
        <v>6.4749999999999996</v>
      </c>
      <c r="E64" s="313">
        <v>6.8170000000000002</v>
      </c>
      <c r="F64" s="313">
        <v>4714</v>
      </c>
      <c r="G64" s="313">
        <v>5334</v>
      </c>
      <c r="H64" s="313">
        <v>0</v>
      </c>
      <c r="I64" s="330">
        <v>45</v>
      </c>
      <c r="J64" s="313">
        <v>6</v>
      </c>
      <c r="K64" s="313">
        <v>213</v>
      </c>
      <c r="L64" s="313">
        <v>0</v>
      </c>
      <c r="M64" s="313">
        <v>847</v>
      </c>
      <c r="N64" s="313">
        <f t="shared" ref="N64:N76" si="6">SUM(I64:M64)</f>
        <v>1111</v>
      </c>
      <c r="O64" s="313">
        <v>4714</v>
      </c>
      <c r="P64" s="313">
        <v>0</v>
      </c>
      <c r="Q64" s="313">
        <v>593</v>
      </c>
      <c r="R64" s="313">
        <v>0</v>
      </c>
      <c r="S64" s="313">
        <v>21</v>
      </c>
      <c r="T64" s="330">
        <v>21</v>
      </c>
      <c r="U64" s="313">
        <v>75</v>
      </c>
      <c r="V64" s="313">
        <v>4167</v>
      </c>
      <c r="W64" s="313">
        <v>4188</v>
      </c>
      <c r="X64" s="315">
        <v>3251</v>
      </c>
      <c r="Z64" s="118"/>
      <c r="AB64" s="118"/>
      <c r="AC64" s="118"/>
      <c r="AD64" s="118"/>
      <c r="AE64" s="118"/>
    </row>
    <row r="65" spans="1:31" ht="24.75" customHeight="1">
      <c r="A65" s="320" t="s">
        <v>1958</v>
      </c>
      <c r="B65" s="317" t="s">
        <v>1959</v>
      </c>
      <c r="C65" s="312" t="s">
        <v>1960</v>
      </c>
      <c r="D65" s="313">
        <v>40.242000000000004</v>
      </c>
      <c r="E65" s="313">
        <v>42.247</v>
      </c>
      <c r="F65" s="313">
        <v>47092</v>
      </c>
      <c r="G65" s="313">
        <v>70846</v>
      </c>
      <c r="H65" s="313">
        <v>0</v>
      </c>
      <c r="I65" s="313">
        <v>69</v>
      </c>
      <c r="J65" s="313">
        <v>181</v>
      </c>
      <c r="K65" s="313">
        <v>541</v>
      </c>
      <c r="L65" s="313">
        <v>325</v>
      </c>
      <c r="M65" s="313">
        <v>4035</v>
      </c>
      <c r="N65" s="313">
        <f t="shared" si="6"/>
        <v>5151</v>
      </c>
      <c r="O65" s="313">
        <v>47092</v>
      </c>
      <c r="P65" s="313">
        <v>0</v>
      </c>
      <c r="Q65" s="313">
        <v>3787</v>
      </c>
      <c r="R65" s="313">
        <v>0</v>
      </c>
      <c r="S65" s="313">
        <v>83</v>
      </c>
      <c r="T65" s="314">
        <v>83</v>
      </c>
      <c r="U65" s="313">
        <v>1200</v>
      </c>
      <c r="V65" s="313">
        <v>22127</v>
      </c>
      <c r="W65" s="313">
        <v>22210</v>
      </c>
      <c r="X65" s="315">
        <v>21312</v>
      </c>
    </row>
    <row r="66" spans="1:31" ht="24.75" customHeight="1">
      <c r="A66" s="320" t="s">
        <v>1961</v>
      </c>
      <c r="B66" s="317" t="s">
        <v>1962</v>
      </c>
      <c r="C66" s="312" t="s">
        <v>1963</v>
      </c>
      <c r="D66" s="313">
        <v>38.523000000000003</v>
      </c>
      <c r="E66" s="313">
        <v>42.550999999999995</v>
      </c>
      <c r="F66" s="313">
        <v>34665</v>
      </c>
      <c r="G66" s="313">
        <v>47093</v>
      </c>
      <c r="H66" s="313">
        <v>0</v>
      </c>
      <c r="I66" s="313">
        <v>477</v>
      </c>
      <c r="J66" s="313">
        <v>276</v>
      </c>
      <c r="K66" s="313">
        <v>1203</v>
      </c>
      <c r="L66" s="313">
        <v>1</v>
      </c>
      <c r="M66" s="313">
        <v>1369</v>
      </c>
      <c r="N66" s="313">
        <f t="shared" si="6"/>
        <v>3326</v>
      </c>
      <c r="O66" s="313">
        <v>34665</v>
      </c>
      <c r="P66" s="313">
        <v>0</v>
      </c>
      <c r="Q66" s="313">
        <v>1556</v>
      </c>
      <c r="R66" s="313">
        <v>0</v>
      </c>
      <c r="S66" s="313">
        <v>53</v>
      </c>
      <c r="T66" s="313">
        <v>53</v>
      </c>
      <c r="U66" s="313">
        <v>613</v>
      </c>
      <c r="V66" s="313">
        <v>21825</v>
      </c>
      <c r="W66" s="313">
        <v>21878</v>
      </c>
      <c r="X66" s="315">
        <v>18366</v>
      </c>
    </row>
    <row r="67" spans="1:31" ht="24.75" customHeight="1">
      <c r="A67" s="320" t="s">
        <v>1964</v>
      </c>
      <c r="B67" s="317" t="s">
        <v>1965</v>
      </c>
      <c r="C67" s="312" t="s">
        <v>1966</v>
      </c>
      <c r="D67" s="313">
        <v>22.088999999999999</v>
      </c>
      <c r="E67" s="313">
        <v>29.867999999999999</v>
      </c>
      <c r="F67" s="313">
        <v>3102</v>
      </c>
      <c r="G67" s="313">
        <v>3891</v>
      </c>
      <c r="H67" s="313">
        <v>0</v>
      </c>
      <c r="I67" s="313">
        <v>35</v>
      </c>
      <c r="J67" s="313">
        <v>175</v>
      </c>
      <c r="K67" s="313">
        <v>94</v>
      </c>
      <c r="L67" s="313">
        <v>0</v>
      </c>
      <c r="M67" s="313">
        <v>130</v>
      </c>
      <c r="N67" s="313">
        <f t="shared" si="6"/>
        <v>434</v>
      </c>
      <c r="O67" s="313">
        <v>3102</v>
      </c>
      <c r="P67" s="313">
        <v>0</v>
      </c>
      <c r="Q67" s="313">
        <v>1439</v>
      </c>
      <c r="R67" s="313">
        <v>0</v>
      </c>
      <c r="S67" s="313">
        <v>8</v>
      </c>
      <c r="T67" s="313">
        <v>8</v>
      </c>
      <c r="U67" s="313">
        <v>25</v>
      </c>
      <c r="V67" s="313">
        <v>11463</v>
      </c>
      <c r="W67" s="313">
        <v>11471</v>
      </c>
      <c r="X67" s="315">
        <v>9897</v>
      </c>
    </row>
    <row r="68" spans="1:31" ht="24.75" customHeight="1">
      <c r="A68" s="320" t="s">
        <v>1967</v>
      </c>
      <c r="B68" s="317" t="s">
        <v>1968</v>
      </c>
      <c r="C68" s="312" t="s">
        <v>1969</v>
      </c>
      <c r="D68" s="313">
        <v>11.005000000000001</v>
      </c>
      <c r="E68" s="313">
        <v>15.175000000000001</v>
      </c>
      <c r="F68" s="313">
        <v>1055</v>
      </c>
      <c r="G68" s="313">
        <v>1728</v>
      </c>
      <c r="H68" s="313">
        <v>0</v>
      </c>
      <c r="I68" s="313">
        <v>3</v>
      </c>
      <c r="J68" s="313">
        <v>51</v>
      </c>
      <c r="K68" s="313">
        <v>60</v>
      </c>
      <c r="L68" s="313">
        <v>0</v>
      </c>
      <c r="M68" s="313">
        <v>23</v>
      </c>
      <c r="N68" s="313">
        <f t="shared" si="6"/>
        <v>137</v>
      </c>
      <c r="O68" s="313">
        <v>1055</v>
      </c>
      <c r="P68" s="313">
        <v>0</v>
      </c>
      <c r="Q68" s="313">
        <v>655</v>
      </c>
      <c r="R68" s="313">
        <v>0</v>
      </c>
      <c r="S68" s="319">
        <v>8</v>
      </c>
      <c r="T68" s="313">
        <v>8</v>
      </c>
      <c r="U68" s="313">
        <v>0</v>
      </c>
      <c r="V68" s="313">
        <v>4824</v>
      </c>
      <c r="W68" s="313">
        <v>4832</v>
      </c>
      <c r="X68" s="315">
        <v>4234</v>
      </c>
    </row>
    <row r="69" spans="1:31" ht="24.75" customHeight="1">
      <c r="A69" s="320" t="s">
        <v>1970</v>
      </c>
      <c r="B69" s="317" t="s">
        <v>1971</v>
      </c>
      <c r="C69" s="312" t="s">
        <v>1972</v>
      </c>
      <c r="D69" s="313">
        <v>38.502000000000002</v>
      </c>
      <c r="E69" s="313">
        <v>40.090000000000003</v>
      </c>
      <c r="F69" s="313">
        <v>21196</v>
      </c>
      <c r="G69" s="313">
        <v>35759</v>
      </c>
      <c r="H69" s="313">
        <v>0</v>
      </c>
      <c r="I69" s="313">
        <v>91</v>
      </c>
      <c r="J69" s="313">
        <v>168</v>
      </c>
      <c r="K69" s="313">
        <v>162</v>
      </c>
      <c r="L69" s="313">
        <v>16</v>
      </c>
      <c r="M69" s="313">
        <v>736</v>
      </c>
      <c r="N69" s="313">
        <f t="shared" si="6"/>
        <v>1173</v>
      </c>
      <c r="O69" s="313">
        <v>21196</v>
      </c>
      <c r="P69" s="313">
        <v>0</v>
      </c>
      <c r="Q69" s="313">
        <v>2245</v>
      </c>
      <c r="R69" s="313">
        <v>0</v>
      </c>
      <c r="S69" s="313">
        <v>24</v>
      </c>
      <c r="T69" s="319">
        <v>24</v>
      </c>
      <c r="U69" s="313">
        <v>284</v>
      </c>
      <c r="V69" s="313">
        <v>20460</v>
      </c>
      <c r="W69" s="313">
        <v>20484</v>
      </c>
      <c r="X69" s="315">
        <v>16065</v>
      </c>
    </row>
    <row r="70" spans="1:31" ht="24.75" customHeight="1">
      <c r="A70" s="320" t="s">
        <v>1973</v>
      </c>
      <c r="B70" s="317" t="s">
        <v>1974</v>
      </c>
      <c r="C70" s="312" t="s">
        <v>1975</v>
      </c>
      <c r="D70" s="313">
        <v>11.103999999999999</v>
      </c>
      <c r="E70" s="313">
        <v>11</v>
      </c>
      <c r="F70" s="313">
        <v>1015</v>
      </c>
      <c r="G70" s="313">
        <v>1705</v>
      </c>
      <c r="H70" s="313">
        <v>0</v>
      </c>
      <c r="I70" s="313">
        <v>93</v>
      </c>
      <c r="J70" s="313">
        <v>47</v>
      </c>
      <c r="K70" s="313">
        <v>109</v>
      </c>
      <c r="L70" s="313">
        <v>0</v>
      </c>
      <c r="M70" s="313">
        <v>23</v>
      </c>
      <c r="N70" s="313">
        <f t="shared" si="6"/>
        <v>272</v>
      </c>
      <c r="O70" s="313">
        <v>1015</v>
      </c>
      <c r="P70" s="313">
        <v>0</v>
      </c>
      <c r="Q70" s="313">
        <v>680</v>
      </c>
      <c r="R70" s="313">
        <v>0</v>
      </c>
      <c r="S70" s="313">
        <v>6</v>
      </c>
      <c r="T70" s="313">
        <v>6</v>
      </c>
      <c r="U70" s="313">
        <v>0</v>
      </c>
      <c r="V70" s="313">
        <v>5225</v>
      </c>
      <c r="W70" s="313">
        <v>5231</v>
      </c>
      <c r="X70" s="315">
        <v>5196</v>
      </c>
    </row>
    <row r="71" spans="1:31" ht="24.75" customHeight="1">
      <c r="A71" s="320" t="s">
        <v>1976</v>
      </c>
      <c r="B71" s="317" t="s">
        <v>1977</v>
      </c>
      <c r="C71" s="312" t="s">
        <v>1978</v>
      </c>
      <c r="D71" s="313">
        <v>14.58</v>
      </c>
      <c r="E71" s="313">
        <v>15.195</v>
      </c>
      <c r="F71" s="313">
        <v>12028</v>
      </c>
      <c r="G71" s="313">
        <v>16649</v>
      </c>
      <c r="H71" s="313">
        <v>0</v>
      </c>
      <c r="I71" s="313">
        <v>56</v>
      </c>
      <c r="J71" s="313">
        <v>209</v>
      </c>
      <c r="K71" s="313">
        <v>151</v>
      </c>
      <c r="L71" s="313">
        <v>227</v>
      </c>
      <c r="M71" s="313">
        <v>1003</v>
      </c>
      <c r="N71" s="313">
        <f t="shared" si="6"/>
        <v>1646</v>
      </c>
      <c r="O71" s="313">
        <v>12028</v>
      </c>
      <c r="P71" s="313">
        <v>0</v>
      </c>
      <c r="Q71" s="313">
        <v>785</v>
      </c>
      <c r="R71" s="313">
        <v>0</v>
      </c>
      <c r="S71" s="313">
        <v>3</v>
      </c>
      <c r="T71" s="313">
        <v>3</v>
      </c>
      <c r="U71" s="313">
        <v>287</v>
      </c>
      <c r="V71" s="313">
        <v>7138</v>
      </c>
      <c r="W71" s="313">
        <v>7141</v>
      </c>
      <c r="X71" s="315">
        <v>6952</v>
      </c>
    </row>
    <row r="72" spans="1:31" ht="24.75" customHeight="1">
      <c r="A72" s="320" t="s">
        <v>1979</v>
      </c>
      <c r="B72" s="317" t="s">
        <v>1980</v>
      </c>
      <c r="C72" s="312" t="s">
        <v>1981</v>
      </c>
      <c r="D72" s="313">
        <v>37.492000000000004</v>
      </c>
      <c r="E72" s="313">
        <v>40.503999999999998</v>
      </c>
      <c r="F72" s="313">
        <v>9589</v>
      </c>
      <c r="G72" s="313">
        <v>17930</v>
      </c>
      <c r="H72" s="313">
        <v>0</v>
      </c>
      <c r="I72" s="313">
        <v>82</v>
      </c>
      <c r="J72" s="313">
        <v>321</v>
      </c>
      <c r="K72" s="313">
        <v>101</v>
      </c>
      <c r="L72" s="313">
        <v>4</v>
      </c>
      <c r="M72" s="313">
        <v>394</v>
      </c>
      <c r="N72" s="313">
        <f t="shared" si="6"/>
        <v>902</v>
      </c>
      <c r="O72" s="313">
        <v>9589</v>
      </c>
      <c r="P72" s="313">
        <v>0</v>
      </c>
      <c r="Q72" s="313">
        <v>1612</v>
      </c>
      <c r="R72" s="313">
        <v>0</v>
      </c>
      <c r="S72" s="313">
        <v>0</v>
      </c>
      <c r="T72" s="313">
        <v>0</v>
      </c>
      <c r="U72" s="313">
        <v>375</v>
      </c>
      <c r="V72" s="313">
        <v>15366</v>
      </c>
      <c r="W72" s="313">
        <v>15366</v>
      </c>
      <c r="X72" s="315">
        <v>14849</v>
      </c>
    </row>
    <row r="73" spans="1:31" ht="24.75" customHeight="1">
      <c r="A73" s="320" t="s">
        <v>1982</v>
      </c>
      <c r="B73" s="317" t="s">
        <v>1983</v>
      </c>
      <c r="C73" s="312" t="s">
        <v>1984</v>
      </c>
      <c r="D73" s="313">
        <v>23.896999999999998</v>
      </c>
      <c r="E73" s="313">
        <v>23</v>
      </c>
      <c r="F73" s="313">
        <v>51901</v>
      </c>
      <c r="G73" s="313">
        <v>54972</v>
      </c>
      <c r="H73" s="313">
        <v>0</v>
      </c>
      <c r="I73" s="313">
        <v>297</v>
      </c>
      <c r="J73" s="313">
        <v>168</v>
      </c>
      <c r="K73" s="313">
        <v>768</v>
      </c>
      <c r="L73" s="313">
        <v>86</v>
      </c>
      <c r="M73" s="313">
        <v>1015</v>
      </c>
      <c r="N73" s="313">
        <f t="shared" si="6"/>
        <v>2334</v>
      </c>
      <c r="O73" s="313">
        <v>51901</v>
      </c>
      <c r="P73" s="313">
        <v>0</v>
      </c>
      <c r="Q73" s="313">
        <v>1259</v>
      </c>
      <c r="R73" s="313">
        <v>0</v>
      </c>
      <c r="S73" s="313">
        <v>268</v>
      </c>
      <c r="T73" s="313">
        <v>268</v>
      </c>
      <c r="U73" s="313">
        <v>202</v>
      </c>
      <c r="V73" s="313">
        <v>12556</v>
      </c>
      <c r="W73" s="313">
        <v>12824</v>
      </c>
      <c r="X73" s="315">
        <v>11935</v>
      </c>
    </row>
    <row r="74" spans="1:31" ht="24.75" customHeight="1">
      <c r="A74" s="320" t="s">
        <v>1985</v>
      </c>
      <c r="B74" s="317" t="s">
        <v>1986</v>
      </c>
      <c r="C74" s="312" t="s">
        <v>1987</v>
      </c>
      <c r="D74" s="313">
        <v>27.895</v>
      </c>
      <c r="E74" s="313">
        <v>28.254000000000001</v>
      </c>
      <c r="F74" s="313">
        <v>14467</v>
      </c>
      <c r="G74" s="313">
        <v>18379</v>
      </c>
      <c r="H74" s="313">
        <v>0</v>
      </c>
      <c r="I74" s="313">
        <v>168</v>
      </c>
      <c r="J74" s="313">
        <v>72</v>
      </c>
      <c r="K74" s="313">
        <v>357</v>
      </c>
      <c r="L74" s="313">
        <v>4</v>
      </c>
      <c r="M74" s="313">
        <v>1551</v>
      </c>
      <c r="N74" s="313">
        <f t="shared" si="6"/>
        <v>2152</v>
      </c>
      <c r="O74" s="313">
        <v>14467</v>
      </c>
      <c r="P74" s="313">
        <v>0</v>
      </c>
      <c r="Q74" s="313">
        <v>1137</v>
      </c>
      <c r="R74" s="313">
        <v>0</v>
      </c>
      <c r="S74" s="319">
        <v>45</v>
      </c>
      <c r="T74" s="313">
        <v>45</v>
      </c>
      <c r="U74" s="313">
        <v>405</v>
      </c>
      <c r="V74" s="313">
        <v>12382</v>
      </c>
      <c r="W74" s="313">
        <v>12427</v>
      </c>
      <c r="X74" s="315">
        <v>11410</v>
      </c>
    </row>
    <row r="75" spans="1:31" ht="24.75" customHeight="1">
      <c r="A75" s="320" t="s">
        <v>1988</v>
      </c>
      <c r="B75" s="317" t="s">
        <v>1989</v>
      </c>
      <c r="C75" s="312" t="s">
        <v>1990</v>
      </c>
      <c r="D75" s="313">
        <v>41.832000000000001</v>
      </c>
      <c r="E75" s="313">
        <v>44.868000000000002</v>
      </c>
      <c r="F75" s="313">
        <v>45729</v>
      </c>
      <c r="G75" s="313">
        <v>67010</v>
      </c>
      <c r="H75" s="313">
        <v>0</v>
      </c>
      <c r="I75" s="313">
        <v>468</v>
      </c>
      <c r="J75" s="313">
        <v>247</v>
      </c>
      <c r="K75" s="313">
        <v>639</v>
      </c>
      <c r="L75" s="313">
        <v>25</v>
      </c>
      <c r="M75" s="313">
        <v>886</v>
      </c>
      <c r="N75" s="313">
        <f t="shared" si="6"/>
        <v>2265</v>
      </c>
      <c r="O75" s="313">
        <v>45729</v>
      </c>
      <c r="P75" s="313">
        <v>0</v>
      </c>
      <c r="Q75" s="313">
        <v>1986</v>
      </c>
      <c r="R75" s="313">
        <v>0</v>
      </c>
      <c r="S75" s="319">
        <v>470</v>
      </c>
      <c r="T75" s="319">
        <v>470</v>
      </c>
      <c r="U75" s="313">
        <v>334</v>
      </c>
      <c r="V75" s="313">
        <v>25365</v>
      </c>
      <c r="W75" s="313">
        <v>25835</v>
      </c>
      <c r="X75" s="315">
        <v>17754</v>
      </c>
    </row>
    <row r="76" spans="1:31" ht="24.75" customHeight="1">
      <c r="A76" s="320" t="s">
        <v>1991</v>
      </c>
      <c r="B76" s="317" t="s">
        <v>1992</v>
      </c>
      <c r="C76" s="312" t="s">
        <v>1993</v>
      </c>
      <c r="D76" s="313">
        <v>40.406999999999996</v>
      </c>
      <c r="E76" s="313">
        <v>47</v>
      </c>
      <c r="F76" s="313">
        <v>115225</v>
      </c>
      <c r="G76" s="313">
        <v>149747</v>
      </c>
      <c r="H76" s="313">
        <v>0</v>
      </c>
      <c r="I76" s="313">
        <v>34</v>
      </c>
      <c r="J76" s="313">
        <v>168</v>
      </c>
      <c r="K76" s="313">
        <v>201</v>
      </c>
      <c r="L76" s="313">
        <v>125</v>
      </c>
      <c r="M76" s="313">
        <v>719</v>
      </c>
      <c r="N76" s="313">
        <f t="shared" si="6"/>
        <v>1247</v>
      </c>
      <c r="O76" s="313">
        <v>115225</v>
      </c>
      <c r="P76" s="313">
        <v>0</v>
      </c>
      <c r="Q76" s="313">
        <v>1970</v>
      </c>
      <c r="R76" s="313">
        <v>0</v>
      </c>
      <c r="S76" s="319">
        <v>22</v>
      </c>
      <c r="T76" s="319">
        <v>22</v>
      </c>
      <c r="U76" s="313">
        <v>300</v>
      </c>
      <c r="V76" s="313">
        <v>19877</v>
      </c>
      <c r="W76" s="313">
        <v>19899</v>
      </c>
      <c r="X76" s="315">
        <v>18376</v>
      </c>
    </row>
    <row r="77" spans="1:31" s="318" customFormat="1" ht="24.75" customHeight="1">
      <c r="A77" s="321" t="s">
        <v>1994</v>
      </c>
      <c r="B77" s="328"/>
      <c r="C77" s="323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6"/>
      <c r="Z77" s="118"/>
      <c r="AB77" s="118"/>
      <c r="AC77" s="118"/>
      <c r="AD77" s="118"/>
      <c r="AE77" s="118"/>
    </row>
    <row r="78" spans="1:31" ht="24.75" customHeight="1">
      <c r="A78" s="320" t="s">
        <v>1995</v>
      </c>
      <c r="B78" s="317" t="s">
        <v>1996</v>
      </c>
      <c r="C78" s="312" t="s">
        <v>1997</v>
      </c>
      <c r="D78" s="313">
        <v>16</v>
      </c>
      <c r="E78" s="313">
        <v>16</v>
      </c>
      <c r="F78" s="313">
        <v>38695</v>
      </c>
      <c r="G78" s="313">
        <v>47773</v>
      </c>
      <c r="H78" s="313">
        <v>0</v>
      </c>
      <c r="I78" s="313">
        <v>0</v>
      </c>
      <c r="J78" s="313">
        <v>104</v>
      </c>
      <c r="K78" s="313">
        <v>4470</v>
      </c>
      <c r="L78" s="313">
        <v>0</v>
      </c>
      <c r="M78" s="313">
        <v>9136</v>
      </c>
      <c r="N78" s="313">
        <f t="shared" ref="N78:N95" si="7">SUM(I78:M78)</f>
        <v>13710</v>
      </c>
      <c r="O78" s="313">
        <v>38695</v>
      </c>
      <c r="P78" s="313">
        <v>0</v>
      </c>
      <c r="Q78" s="313">
        <v>2503</v>
      </c>
      <c r="R78" s="313">
        <v>0</v>
      </c>
      <c r="S78" s="313">
        <v>16</v>
      </c>
      <c r="T78" s="331">
        <v>16</v>
      </c>
      <c r="U78" s="313">
        <v>1297</v>
      </c>
      <c r="V78" s="313">
        <v>18586</v>
      </c>
      <c r="W78" s="313">
        <v>18602</v>
      </c>
      <c r="X78" s="315">
        <v>5276</v>
      </c>
      <c r="AB78" s="318"/>
      <c r="AC78" s="318"/>
      <c r="AD78" s="318"/>
      <c r="AE78" s="318"/>
    </row>
    <row r="79" spans="1:31" ht="24.75" customHeight="1">
      <c r="A79" s="320" t="s">
        <v>1998</v>
      </c>
      <c r="B79" s="317" t="s">
        <v>1999</v>
      </c>
      <c r="C79" s="312" t="s">
        <v>2000</v>
      </c>
      <c r="D79" s="313">
        <v>59.327999999999996</v>
      </c>
      <c r="E79" s="313">
        <v>61.097999999999999</v>
      </c>
      <c r="F79" s="313">
        <v>95105</v>
      </c>
      <c r="G79" s="313">
        <v>123493</v>
      </c>
      <c r="H79" s="313">
        <v>0</v>
      </c>
      <c r="I79" s="313">
        <v>405</v>
      </c>
      <c r="J79" s="313">
        <v>369</v>
      </c>
      <c r="K79" s="313">
        <v>384</v>
      </c>
      <c r="L79" s="313">
        <v>14</v>
      </c>
      <c r="M79" s="313">
        <v>712</v>
      </c>
      <c r="N79" s="313">
        <f t="shared" si="7"/>
        <v>1884</v>
      </c>
      <c r="O79" s="313">
        <v>95105</v>
      </c>
      <c r="P79" s="313">
        <v>47</v>
      </c>
      <c r="Q79" s="313">
        <v>3359</v>
      </c>
      <c r="R79" s="313">
        <v>0</v>
      </c>
      <c r="S79" s="313">
        <v>57</v>
      </c>
      <c r="T79" s="313">
        <v>18</v>
      </c>
      <c r="U79" s="313">
        <v>1156</v>
      </c>
      <c r="V79" s="313">
        <v>37324</v>
      </c>
      <c r="W79" s="313">
        <v>37381</v>
      </c>
      <c r="X79" s="315">
        <v>27956</v>
      </c>
    </row>
    <row r="80" spans="1:31" ht="24.75" customHeight="1">
      <c r="A80" s="320" t="s">
        <v>2001</v>
      </c>
      <c r="B80" s="317" t="s">
        <v>2002</v>
      </c>
      <c r="C80" s="312" t="s">
        <v>2003</v>
      </c>
      <c r="D80" s="313">
        <v>27.102</v>
      </c>
      <c r="E80" s="313">
        <v>33.25</v>
      </c>
      <c r="F80" s="313">
        <v>22041</v>
      </c>
      <c r="G80" s="313">
        <v>27822</v>
      </c>
      <c r="H80" s="313">
        <v>0</v>
      </c>
      <c r="I80" s="313">
        <v>485</v>
      </c>
      <c r="J80" s="313">
        <v>83</v>
      </c>
      <c r="K80" s="313">
        <v>1359</v>
      </c>
      <c r="L80" s="313">
        <v>224</v>
      </c>
      <c r="M80" s="313">
        <v>1957</v>
      </c>
      <c r="N80" s="313">
        <f t="shared" si="7"/>
        <v>4108</v>
      </c>
      <c r="O80" s="313">
        <v>22041</v>
      </c>
      <c r="P80" s="313">
        <v>0</v>
      </c>
      <c r="Q80" s="313">
        <v>1335</v>
      </c>
      <c r="R80" s="313">
        <v>0</v>
      </c>
      <c r="S80" s="313">
        <v>5</v>
      </c>
      <c r="T80" s="313">
        <v>5</v>
      </c>
      <c r="U80" s="313">
        <v>404</v>
      </c>
      <c r="V80" s="313">
        <v>14044</v>
      </c>
      <c r="W80" s="313">
        <v>14049</v>
      </c>
      <c r="X80" s="315">
        <v>13141</v>
      </c>
    </row>
    <row r="81" spans="1:169" ht="24.75" customHeight="1">
      <c r="A81" s="320" t="s">
        <v>2004</v>
      </c>
      <c r="B81" s="317" t="s">
        <v>2005</v>
      </c>
      <c r="C81" s="312" t="s">
        <v>2006</v>
      </c>
      <c r="D81" s="313">
        <v>35.35</v>
      </c>
      <c r="E81" s="313">
        <v>37.167000000000002</v>
      </c>
      <c r="F81" s="313">
        <v>14587</v>
      </c>
      <c r="G81" s="313">
        <v>27797</v>
      </c>
      <c r="H81" s="313">
        <v>0</v>
      </c>
      <c r="I81" s="313">
        <v>14</v>
      </c>
      <c r="J81" s="313">
        <v>60</v>
      </c>
      <c r="K81" s="313">
        <v>181</v>
      </c>
      <c r="L81" s="313">
        <v>0</v>
      </c>
      <c r="M81" s="313">
        <v>470</v>
      </c>
      <c r="N81" s="313">
        <f t="shared" si="7"/>
        <v>725</v>
      </c>
      <c r="O81" s="313">
        <v>14587</v>
      </c>
      <c r="P81" s="313">
        <v>0</v>
      </c>
      <c r="Q81" s="313">
        <v>1592</v>
      </c>
      <c r="R81" s="313">
        <v>0</v>
      </c>
      <c r="S81" s="313">
        <v>142</v>
      </c>
      <c r="T81" s="313">
        <v>142</v>
      </c>
      <c r="U81" s="313">
        <v>100</v>
      </c>
      <c r="V81" s="313">
        <v>16750</v>
      </c>
      <c r="W81" s="313">
        <v>16892</v>
      </c>
      <c r="X81" s="315">
        <v>16456</v>
      </c>
    </row>
    <row r="82" spans="1:169" ht="24.75" customHeight="1">
      <c r="A82" s="320" t="s">
        <v>2007</v>
      </c>
      <c r="B82" s="317" t="s">
        <v>2008</v>
      </c>
      <c r="C82" s="312" t="s">
        <v>2009</v>
      </c>
      <c r="D82" s="313">
        <v>55.613999999999997</v>
      </c>
      <c r="E82" s="313">
        <v>60.606000000000002</v>
      </c>
      <c r="F82" s="313">
        <v>106273</v>
      </c>
      <c r="G82" s="313">
        <v>100896</v>
      </c>
      <c r="H82" s="313">
        <v>0</v>
      </c>
      <c r="I82" s="313">
        <v>89</v>
      </c>
      <c r="J82" s="313">
        <v>13</v>
      </c>
      <c r="K82" s="313">
        <v>145</v>
      </c>
      <c r="L82" s="313">
        <v>338</v>
      </c>
      <c r="M82" s="313">
        <v>14115</v>
      </c>
      <c r="N82" s="313">
        <f t="shared" si="7"/>
        <v>14700</v>
      </c>
      <c r="O82" s="313">
        <v>106273</v>
      </c>
      <c r="P82" s="313">
        <v>0</v>
      </c>
      <c r="Q82" s="313">
        <v>2987</v>
      </c>
      <c r="R82" s="313">
        <v>0</v>
      </c>
      <c r="S82" s="313">
        <v>58</v>
      </c>
      <c r="T82" s="313">
        <v>58</v>
      </c>
      <c r="U82" s="313">
        <v>815</v>
      </c>
      <c r="V82" s="313">
        <v>28364</v>
      </c>
      <c r="W82" s="313">
        <v>28422</v>
      </c>
      <c r="X82" s="315">
        <v>28175</v>
      </c>
    </row>
    <row r="83" spans="1:169" ht="24.75" customHeight="1">
      <c r="A83" s="320" t="s">
        <v>2010</v>
      </c>
      <c r="B83" s="317" t="s">
        <v>2011</v>
      </c>
      <c r="C83" s="312" t="s">
        <v>2012</v>
      </c>
      <c r="D83" s="313">
        <v>46.991999999999997</v>
      </c>
      <c r="E83" s="313">
        <v>46.518000000000001</v>
      </c>
      <c r="F83" s="313">
        <v>38129</v>
      </c>
      <c r="G83" s="313">
        <v>39227</v>
      </c>
      <c r="H83" s="313">
        <v>0</v>
      </c>
      <c r="I83" s="313">
        <v>809</v>
      </c>
      <c r="J83" s="313">
        <v>879</v>
      </c>
      <c r="K83" s="313">
        <v>392</v>
      </c>
      <c r="L83" s="313">
        <v>4042</v>
      </c>
      <c r="M83" s="313">
        <v>1873</v>
      </c>
      <c r="N83" s="313">
        <f t="shared" si="7"/>
        <v>7995</v>
      </c>
      <c r="O83" s="313">
        <v>38129</v>
      </c>
      <c r="P83" s="313">
        <v>0</v>
      </c>
      <c r="Q83" s="313">
        <v>1569</v>
      </c>
      <c r="R83" s="313">
        <v>0</v>
      </c>
      <c r="S83" s="313">
        <v>153</v>
      </c>
      <c r="T83" s="313">
        <v>153</v>
      </c>
      <c r="U83" s="313">
        <v>1041</v>
      </c>
      <c r="V83" s="313">
        <v>22631</v>
      </c>
      <c r="W83" s="313">
        <v>22784</v>
      </c>
      <c r="X83" s="315">
        <v>19967</v>
      </c>
    </row>
    <row r="84" spans="1:169" ht="24.75" customHeight="1">
      <c r="A84" s="320" t="s">
        <v>2013</v>
      </c>
      <c r="B84" s="317" t="s">
        <v>2014</v>
      </c>
      <c r="C84" s="312" t="s">
        <v>2015</v>
      </c>
      <c r="D84" s="313">
        <v>5.8280000000000003</v>
      </c>
      <c r="E84" s="313">
        <v>7</v>
      </c>
      <c r="F84" s="313">
        <v>2498.73</v>
      </c>
      <c r="G84" s="313">
        <v>5579.88</v>
      </c>
      <c r="H84" s="313">
        <v>0</v>
      </c>
      <c r="I84" s="313">
        <v>130.29</v>
      </c>
      <c r="J84" s="313">
        <v>25.05</v>
      </c>
      <c r="K84" s="313">
        <v>588.94000000000005</v>
      </c>
      <c r="L84" s="313">
        <v>0</v>
      </c>
      <c r="M84" s="313">
        <v>191.59</v>
      </c>
      <c r="N84" s="313">
        <f t="shared" si="7"/>
        <v>935.87000000000012</v>
      </c>
      <c r="O84" s="313">
        <v>2498.73</v>
      </c>
      <c r="P84" s="313">
        <v>0</v>
      </c>
      <c r="Q84" s="313">
        <v>276.3</v>
      </c>
      <c r="R84" s="313">
        <v>0</v>
      </c>
      <c r="S84" s="313">
        <v>5.34</v>
      </c>
      <c r="T84" s="313">
        <v>5.34</v>
      </c>
      <c r="U84" s="313">
        <v>9.33</v>
      </c>
      <c r="V84" s="313">
        <v>3643.92</v>
      </c>
      <c r="W84" s="313">
        <v>3649.26</v>
      </c>
      <c r="X84" s="315">
        <v>2723</v>
      </c>
    </row>
    <row r="85" spans="1:169" ht="24.75" customHeight="1">
      <c r="A85" s="320" t="s">
        <v>2016</v>
      </c>
      <c r="B85" s="317" t="s">
        <v>2017</v>
      </c>
      <c r="C85" s="312" t="s">
        <v>2018</v>
      </c>
      <c r="D85" s="313">
        <v>33.86</v>
      </c>
      <c r="E85" s="313">
        <v>35.585999999999999</v>
      </c>
      <c r="F85" s="313">
        <v>32393</v>
      </c>
      <c r="G85" s="313">
        <v>41509</v>
      </c>
      <c r="H85" s="313">
        <v>0</v>
      </c>
      <c r="I85" s="313">
        <v>100</v>
      </c>
      <c r="J85" s="313">
        <v>372</v>
      </c>
      <c r="K85" s="313">
        <v>273</v>
      </c>
      <c r="L85" s="313">
        <v>937</v>
      </c>
      <c r="M85" s="313">
        <v>359</v>
      </c>
      <c r="N85" s="313">
        <f t="shared" si="7"/>
        <v>2041</v>
      </c>
      <c r="O85" s="313">
        <v>32393</v>
      </c>
      <c r="P85" s="313">
        <v>0</v>
      </c>
      <c r="Q85" s="313">
        <v>1475</v>
      </c>
      <c r="R85" s="313">
        <v>0</v>
      </c>
      <c r="S85" s="319">
        <v>152</v>
      </c>
      <c r="T85" s="313">
        <v>152</v>
      </c>
      <c r="U85" s="313">
        <v>393</v>
      </c>
      <c r="V85" s="313">
        <v>19697</v>
      </c>
      <c r="W85" s="313">
        <v>19849</v>
      </c>
      <c r="X85" s="315">
        <v>18385</v>
      </c>
    </row>
    <row r="86" spans="1:169" ht="46.5" customHeight="1">
      <c r="A86" s="320" t="s">
        <v>2019</v>
      </c>
      <c r="B86" s="317" t="s">
        <v>2020</v>
      </c>
      <c r="C86" s="312" t="s">
        <v>2021</v>
      </c>
      <c r="D86" s="313">
        <v>47.283999999999999</v>
      </c>
      <c r="E86" s="313">
        <v>53.878999999999998</v>
      </c>
      <c r="F86" s="313">
        <v>25339</v>
      </c>
      <c r="G86" s="313">
        <v>40271</v>
      </c>
      <c r="H86" s="313">
        <v>0</v>
      </c>
      <c r="I86" s="313">
        <v>17</v>
      </c>
      <c r="J86" s="313">
        <v>78</v>
      </c>
      <c r="K86" s="313">
        <v>15</v>
      </c>
      <c r="L86" s="313">
        <v>11</v>
      </c>
      <c r="M86" s="313">
        <v>568</v>
      </c>
      <c r="N86" s="313">
        <f t="shared" si="7"/>
        <v>689</v>
      </c>
      <c r="O86" s="313">
        <v>25339</v>
      </c>
      <c r="P86" s="313">
        <v>0</v>
      </c>
      <c r="Q86" s="313">
        <v>3088</v>
      </c>
      <c r="R86" s="313">
        <v>0</v>
      </c>
      <c r="S86" s="319">
        <v>15</v>
      </c>
      <c r="T86" s="319">
        <v>15</v>
      </c>
      <c r="U86" s="313">
        <v>745</v>
      </c>
      <c r="V86" s="313">
        <v>27590</v>
      </c>
      <c r="W86" s="313">
        <v>27605</v>
      </c>
      <c r="X86" s="315">
        <v>22846</v>
      </c>
    </row>
    <row r="87" spans="1:169" ht="33" customHeight="1">
      <c r="A87" s="320" t="s">
        <v>2022</v>
      </c>
      <c r="B87" s="317" t="s">
        <v>2023</v>
      </c>
      <c r="C87" s="312" t="s">
        <v>2024</v>
      </c>
      <c r="D87" s="313">
        <v>75.653999999999996</v>
      </c>
      <c r="E87" s="313">
        <v>82.462999999999994</v>
      </c>
      <c r="F87" s="313">
        <v>84410</v>
      </c>
      <c r="G87" s="313">
        <v>95160</v>
      </c>
      <c r="H87" s="313">
        <v>0</v>
      </c>
      <c r="I87" s="313">
        <v>279</v>
      </c>
      <c r="J87" s="313">
        <v>518</v>
      </c>
      <c r="K87" s="313">
        <v>0</v>
      </c>
      <c r="L87" s="313">
        <v>0</v>
      </c>
      <c r="M87" s="313">
        <v>1064</v>
      </c>
      <c r="N87" s="313">
        <f t="shared" si="7"/>
        <v>1861</v>
      </c>
      <c r="O87" s="313">
        <v>84410</v>
      </c>
      <c r="P87" s="313">
        <v>3257</v>
      </c>
      <c r="Q87" s="313">
        <v>3935</v>
      </c>
      <c r="R87" s="313">
        <v>0</v>
      </c>
      <c r="S87" s="313">
        <v>29</v>
      </c>
      <c r="T87" s="319">
        <v>29</v>
      </c>
      <c r="U87" s="313">
        <v>1144</v>
      </c>
      <c r="V87" s="313">
        <v>42081</v>
      </c>
      <c r="W87" s="313">
        <v>42110</v>
      </c>
      <c r="X87" s="315">
        <v>35113</v>
      </c>
    </row>
    <row r="88" spans="1:169" ht="24.75" customHeight="1">
      <c r="A88" s="320" t="s">
        <v>2025</v>
      </c>
      <c r="B88" s="317" t="s">
        <v>2026</v>
      </c>
      <c r="C88" s="312" t="s">
        <v>2027</v>
      </c>
      <c r="D88" s="313">
        <v>13.162000000000001</v>
      </c>
      <c r="E88" s="313">
        <v>17.832999999999998</v>
      </c>
      <c r="F88" s="313">
        <v>12769.71</v>
      </c>
      <c r="G88" s="313">
        <v>21027.21</v>
      </c>
      <c r="H88" s="313">
        <v>0</v>
      </c>
      <c r="I88" s="313">
        <v>73.430000000000007</v>
      </c>
      <c r="J88" s="313">
        <v>64.78</v>
      </c>
      <c r="K88" s="313">
        <v>865.19</v>
      </c>
      <c r="L88" s="313">
        <v>44.45</v>
      </c>
      <c r="M88" s="313">
        <v>457.22</v>
      </c>
      <c r="N88" s="313">
        <f t="shared" si="7"/>
        <v>1505.0700000000002</v>
      </c>
      <c r="O88" s="313">
        <v>12769.71</v>
      </c>
      <c r="P88" s="313">
        <v>0</v>
      </c>
      <c r="Q88" s="313">
        <v>434</v>
      </c>
      <c r="R88" s="313">
        <v>0</v>
      </c>
      <c r="S88" s="313">
        <v>27.21</v>
      </c>
      <c r="T88" s="313">
        <v>27.21</v>
      </c>
      <c r="U88" s="313">
        <v>258.14</v>
      </c>
      <c r="V88" s="313">
        <v>9425.5300000000007</v>
      </c>
      <c r="W88" s="313">
        <v>9452.74</v>
      </c>
      <c r="X88" s="315">
        <v>5148</v>
      </c>
    </row>
    <row r="89" spans="1:169" ht="24.75" customHeight="1">
      <c r="A89" s="320" t="s">
        <v>2028</v>
      </c>
      <c r="B89" s="317" t="s">
        <v>2029</v>
      </c>
      <c r="C89" s="312" t="s">
        <v>2030</v>
      </c>
      <c r="D89" s="313">
        <v>5.0640000000000001</v>
      </c>
      <c r="E89" s="313">
        <v>8.4160000000000004</v>
      </c>
      <c r="F89" s="313">
        <v>530.53</v>
      </c>
      <c r="G89" s="313">
        <v>1260.77</v>
      </c>
      <c r="H89" s="313">
        <v>0</v>
      </c>
      <c r="I89" s="313">
        <v>41</v>
      </c>
      <c r="J89" s="313">
        <v>4.54</v>
      </c>
      <c r="K89" s="313">
        <v>48.29</v>
      </c>
      <c r="L89" s="313">
        <v>0</v>
      </c>
      <c r="M89" s="313">
        <v>35.85</v>
      </c>
      <c r="N89" s="313">
        <f t="shared" si="7"/>
        <v>129.68</v>
      </c>
      <c r="O89" s="313">
        <v>530.53</v>
      </c>
      <c r="P89" s="313">
        <v>0</v>
      </c>
      <c r="Q89" s="313">
        <v>267.39999999999998</v>
      </c>
      <c r="R89" s="313">
        <v>0</v>
      </c>
      <c r="S89" s="313">
        <v>8.9600000000000009</v>
      </c>
      <c r="T89" s="313">
        <v>8.9600000000000009</v>
      </c>
      <c r="U89" s="313">
        <v>36.03</v>
      </c>
      <c r="V89" s="313">
        <v>2454.62</v>
      </c>
      <c r="W89" s="313">
        <v>2463.58</v>
      </c>
      <c r="X89" s="315">
        <v>2017</v>
      </c>
    </row>
    <row r="90" spans="1:169" ht="24.75" customHeight="1">
      <c r="A90" s="320" t="s">
        <v>2031</v>
      </c>
      <c r="B90" s="317" t="s">
        <v>2032</v>
      </c>
      <c r="C90" s="312" t="s">
        <v>2033</v>
      </c>
      <c r="D90" s="313">
        <v>37.377000000000002</v>
      </c>
      <c r="E90" s="313">
        <v>52.679000000000002</v>
      </c>
      <c r="F90" s="313">
        <v>3878</v>
      </c>
      <c r="G90" s="313">
        <v>5765</v>
      </c>
      <c r="H90" s="313">
        <v>0</v>
      </c>
      <c r="I90" s="313">
        <v>176</v>
      </c>
      <c r="J90" s="313">
        <v>122</v>
      </c>
      <c r="K90" s="313">
        <v>975</v>
      </c>
      <c r="L90" s="313">
        <v>0</v>
      </c>
      <c r="M90" s="313">
        <v>311</v>
      </c>
      <c r="N90" s="313">
        <f t="shared" si="7"/>
        <v>1584</v>
      </c>
      <c r="O90" s="313">
        <v>3878</v>
      </c>
      <c r="P90" s="313">
        <v>0</v>
      </c>
      <c r="Q90" s="313">
        <v>1593</v>
      </c>
      <c r="R90" s="313">
        <v>0</v>
      </c>
      <c r="S90" s="313">
        <v>2</v>
      </c>
      <c r="T90" s="313">
        <v>2</v>
      </c>
      <c r="U90" s="313">
        <v>91</v>
      </c>
      <c r="V90" s="313">
        <v>17204</v>
      </c>
      <c r="W90" s="313">
        <v>17206</v>
      </c>
      <c r="X90" s="315">
        <v>14886</v>
      </c>
    </row>
    <row r="91" spans="1:169" ht="24.75" customHeight="1">
      <c r="A91" s="320" t="s">
        <v>2034</v>
      </c>
      <c r="B91" s="317" t="s">
        <v>2035</v>
      </c>
      <c r="C91" s="312" t="s">
        <v>2036</v>
      </c>
      <c r="D91" s="313">
        <v>7.4939999999999998</v>
      </c>
      <c r="E91" s="313">
        <v>12.582000000000001</v>
      </c>
      <c r="F91" s="313">
        <v>702.2</v>
      </c>
      <c r="G91" s="313">
        <v>723.38</v>
      </c>
      <c r="H91" s="313">
        <v>0</v>
      </c>
      <c r="I91" s="313">
        <v>5.74</v>
      </c>
      <c r="J91" s="313">
        <v>29.66</v>
      </c>
      <c r="K91" s="313">
        <v>26.19</v>
      </c>
      <c r="L91" s="313">
        <v>0</v>
      </c>
      <c r="M91" s="313">
        <v>8.52</v>
      </c>
      <c r="N91" s="313">
        <f t="shared" si="7"/>
        <v>70.11</v>
      </c>
      <c r="O91" s="313">
        <v>702.2</v>
      </c>
      <c r="P91" s="313">
        <v>0</v>
      </c>
      <c r="Q91" s="313">
        <v>474.76</v>
      </c>
      <c r="R91" s="313">
        <v>0</v>
      </c>
      <c r="S91" s="313">
        <v>3.06</v>
      </c>
      <c r="T91" s="313">
        <v>3.06</v>
      </c>
      <c r="U91" s="313">
        <v>0</v>
      </c>
      <c r="V91" s="313">
        <v>3423.06</v>
      </c>
      <c r="W91" s="313">
        <v>3426.12</v>
      </c>
      <c r="X91" s="315">
        <v>2906</v>
      </c>
    </row>
    <row r="92" spans="1:169" ht="24.75" customHeight="1">
      <c r="A92" s="320" t="s">
        <v>2037</v>
      </c>
      <c r="B92" s="317" t="s">
        <v>2038</v>
      </c>
      <c r="C92" s="312" t="s">
        <v>2039</v>
      </c>
      <c r="D92" s="313">
        <v>14.574999999999999</v>
      </c>
      <c r="E92" s="313">
        <v>14.750999999999999</v>
      </c>
      <c r="F92" s="313">
        <v>1865</v>
      </c>
      <c r="G92" s="313">
        <v>2030</v>
      </c>
      <c r="H92" s="313">
        <v>0</v>
      </c>
      <c r="I92" s="313">
        <v>76</v>
      </c>
      <c r="J92" s="313">
        <v>87</v>
      </c>
      <c r="K92" s="313">
        <v>31</v>
      </c>
      <c r="L92" s="313">
        <v>249</v>
      </c>
      <c r="M92" s="313">
        <v>54</v>
      </c>
      <c r="N92" s="313">
        <f t="shared" si="7"/>
        <v>497</v>
      </c>
      <c r="O92" s="313">
        <v>1865</v>
      </c>
      <c r="P92" s="313">
        <v>0</v>
      </c>
      <c r="Q92" s="313">
        <v>861</v>
      </c>
      <c r="R92" s="313">
        <v>0</v>
      </c>
      <c r="S92" s="319">
        <v>45</v>
      </c>
      <c r="T92" s="313">
        <v>45</v>
      </c>
      <c r="U92" s="313">
        <v>2</v>
      </c>
      <c r="V92" s="313">
        <v>6572</v>
      </c>
      <c r="W92" s="313">
        <v>6617</v>
      </c>
      <c r="X92" s="315">
        <v>5765</v>
      </c>
    </row>
    <row r="93" spans="1:169" ht="24.75" customHeight="1">
      <c r="A93" s="320" t="s">
        <v>2040</v>
      </c>
      <c r="B93" s="317" t="s">
        <v>2041</v>
      </c>
      <c r="C93" s="312" t="s">
        <v>2036</v>
      </c>
      <c r="D93" s="313">
        <v>7.1539999999999999</v>
      </c>
      <c r="E93" s="313">
        <v>7.1539999999999999</v>
      </c>
      <c r="F93" s="313">
        <v>13104.73</v>
      </c>
      <c r="G93" s="313">
        <v>20008.400000000001</v>
      </c>
      <c r="H93" s="313">
        <v>0</v>
      </c>
      <c r="I93" s="313">
        <v>4.1100000000000003</v>
      </c>
      <c r="J93" s="313">
        <v>79.03</v>
      </c>
      <c r="K93" s="313">
        <v>0</v>
      </c>
      <c r="L93" s="313">
        <v>0</v>
      </c>
      <c r="M93" s="313">
        <v>284.76</v>
      </c>
      <c r="N93" s="313">
        <f t="shared" si="7"/>
        <v>367.9</v>
      </c>
      <c r="O93" s="313">
        <v>13104.73</v>
      </c>
      <c r="P93" s="313">
        <v>0</v>
      </c>
      <c r="Q93" s="313">
        <v>425.41</v>
      </c>
      <c r="R93" s="313">
        <v>0</v>
      </c>
      <c r="S93" s="319">
        <v>40.729999999999997</v>
      </c>
      <c r="T93" s="319">
        <v>40.729999999999997</v>
      </c>
      <c r="U93" s="313">
        <v>187.2</v>
      </c>
      <c r="V93" s="313">
        <v>3832.94</v>
      </c>
      <c r="W93" s="313">
        <v>3873.67</v>
      </c>
      <c r="X93" s="315">
        <v>3472</v>
      </c>
    </row>
    <row r="94" spans="1:169" ht="24.75" customHeight="1">
      <c r="A94" s="320" t="s">
        <v>2042</v>
      </c>
      <c r="B94" s="317" t="s">
        <v>2043</v>
      </c>
      <c r="C94" s="312" t="s">
        <v>2044</v>
      </c>
      <c r="D94" s="313">
        <v>25.123999999999999</v>
      </c>
      <c r="E94" s="313">
        <v>24.405000000000001</v>
      </c>
      <c r="F94" s="313">
        <v>24681</v>
      </c>
      <c r="G94" s="313">
        <v>27488</v>
      </c>
      <c r="H94" s="313">
        <v>0</v>
      </c>
      <c r="I94" s="313">
        <v>123</v>
      </c>
      <c r="J94" s="313">
        <v>140</v>
      </c>
      <c r="K94" s="313">
        <v>139</v>
      </c>
      <c r="L94" s="313">
        <v>71</v>
      </c>
      <c r="M94" s="313">
        <v>237</v>
      </c>
      <c r="N94" s="313">
        <f t="shared" si="7"/>
        <v>710</v>
      </c>
      <c r="O94" s="313">
        <v>24681</v>
      </c>
      <c r="P94" s="313">
        <v>0</v>
      </c>
      <c r="Q94" s="313">
        <v>1094</v>
      </c>
      <c r="R94" s="313">
        <v>0</v>
      </c>
      <c r="S94" s="313">
        <v>6</v>
      </c>
      <c r="T94" s="319">
        <v>6</v>
      </c>
      <c r="U94" s="313">
        <v>73</v>
      </c>
      <c r="V94" s="313">
        <v>10437</v>
      </c>
      <c r="W94" s="313">
        <v>10443</v>
      </c>
      <c r="X94" s="315">
        <v>10228</v>
      </c>
    </row>
    <row r="95" spans="1:169" ht="24.75" customHeight="1">
      <c r="A95" s="320" t="s">
        <v>2045</v>
      </c>
      <c r="B95" s="317" t="s">
        <v>2046</v>
      </c>
      <c r="C95" s="312" t="s">
        <v>2047</v>
      </c>
      <c r="D95" s="313">
        <v>6.1840000000000002</v>
      </c>
      <c r="E95" s="313">
        <v>6.5390000000000006</v>
      </c>
      <c r="F95" s="313">
        <v>3804</v>
      </c>
      <c r="G95" s="313">
        <v>5789</v>
      </c>
      <c r="H95" s="313">
        <v>0</v>
      </c>
      <c r="I95" s="313">
        <v>24</v>
      </c>
      <c r="J95" s="313">
        <v>34</v>
      </c>
      <c r="K95" s="313">
        <v>77</v>
      </c>
      <c r="L95" s="313">
        <v>0</v>
      </c>
      <c r="M95" s="313">
        <v>270</v>
      </c>
      <c r="N95" s="313">
        <f t="shared" si="7"/>
        <v>405</v>
      </c>
      <c r="O95" s="313">
        <v>3804</v>
      </c>
      <c r="P95" s="313">
        <v>0</v>
      </c>
      <c r="Q95" s="313">
        <v>226</v>
      </c>
      <c r="R95" s="313">
        <v>0</v>
      </c>
      <c r="S95" s="319">
        <v>1</v>
      </c>
      <c r="T95" s="313">
        <v>1</v>
      </c>
      <c r="U95" s="313">
        <v>31</v>
      </c>
      <c r="V95" s="313">
        <v>2950</v>
      </c>
      <c r="W95" s="313">
        <v>2951</v>
      </c>
      <c r="X95" s="315">
        <v>2947</v>
      </c>
    </row>
    <row r="96" spans="1:169" s="332" customFormat="1" ht="24.75" customHeight="1">
      <c r="A96" s="321" t="s">
        <v>2048</v>
      </c>
      <c r="B96" s="328"/>
      <c r="C96" s="323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6"/>
      <c r="Y96" s="318"/>
      <c r="Z96" s="118"/>
      <c r="AA96" s="316"/>
      <c r="AB96" s="118"/>
      <c r="AC96" s="118"/>
      <c r="AD96" s="118"/>
      <c r="AE96" s="118"/>
      <c r="AF96" s="316"/>
      <c r="AG96" s="316"/>
      <c r="AH96" s="316"/>
      <c r="AI96" s="316"/>
      <c r="AJ96" s="316"/>
      <c r="AK96" s="316"/>
      <c r="AL96" s="316"/>
      <c r="AM96" s="316"/>
      <c r="AN96" s="316"/>
      <c r="AO96" s="316"/>
      <c r="AP96" s="316"/>
      <c r="AQ96" s="316"/>
      <c r="AR96" s="316"/>
      <c r="AS96" s="316"/>
      <c r="AT96" s="316"/>
      <c r="AU96" s="316"/>
      <c r="AV96" s="316"/>
      <c r="AW96" s="316"/>
      <c r="AX96" s="316"/>
      <c r="AY96" s="316"/>
      <c r="AZ96" s="316"/>
      <c r="BA96" s="316"/>
      <c r="BB96" s="316"/>
      <c r="BC96" s="316"/>
      <c r="BD96" s="316"/>
      <c r="BE96" s="316"/>
      <c r="BF96" s="316"/>
      <c r="BG96" s="316"/>
      <c r="BH96" s="316"/>
      <c r="BI96" s="316"/>
      <c r="BJ96" s="316"/>
      <c r="BK96" s="316"/>
      <c r="BL96" s="316"/>
      <c r="BM96" s="316"/>
      <c r="BN96" s="316"/>
      <c r="BO96" s="316"/>
      <c r="BP96" s="316"/>
      <c r="BQ96" s="316"/>
      <c r="BR96" s="316"/>
      <c r="BS96" s="316"/>
      <c r="BT96" s="316"/>
      <c r="BU96" s="316"/>
      <c r="BV96" s="316"/>
      <c r="BW96" s="316"/>
      <c r="BX96" s="316"/>
      <c r="BY96" s="316"/>
      <c r="BZ96" s="316"/>
      <c r="CA96" s="316"/>
      <c r="CB96" s="316"/>
      <c r="CC96" s="316"/>
      <c r="CD96" s="316"/>
      <c r="CE96" s="316"/>
      <c r="CF96" s="316"/>
      <c r="CG96" s="316"/>
      <c r="CH96" s="316"/>
      <c r="CI96" s="316"/>
      <c r="CJ96" s="316"/>
      <c r="CK96" s="316"/>
      <c r="CL96" s="316"/>
      <c r="CM96" s="316"/>
      <c r="CN96" s="316"/>
      <c r="CO96" s="316"/>
      <c r="CP96" s="316"/>
      <c r="CQ96" s="316"/>
      <c r="CR96" s="316"/>
      <c r="CS96" s="316"/>
      <c r="CT96" s="316"/>
      <c r="CU96" s="316"/>
      <c r="CV96" s="316"/>
      <c r="CW96" s="316"/>
      <c r="CX96" s="316"/>
      <c r="CY96" s="316"/>
      <c r="CZ96" s="316"/>
      <c r="DA96" s="316"/>
      <c r="DB96" s="316"/>
      <c r="DC96" s="316"/>
      <c r="DD96" s="316"/>
      <c r="DE96" s="316"/>
      <c r="DF96" s="316"/>
      <c r="DG96" s="316"/>
      <c r="DH96" s="316"/>
      <c r="DI96" s="316"/>
      <c r="DJ96" s="316"/>
      <c r="DK96" s="316"/>
      <c r="DL96" s="316"/>
      <c r="DM96" s="316"/>
      <c r="DN96" s="316"/>
      <c r="DO96" s="316"/>
      <c r="DP96" s="316"/>
      <c r="DQ96" s="316"/>
      <c r="DR96" s="316"/>
      <c r="DS96" s="316"/>
      <c r="DT96" s="316"/>
      <c r="DU96" s="316"/>
      <c r="DV96" s="316"/>
      <c r="DW96" s="316"/>
      <c r="DX96" s="316"/>
      <c r="DY96" s="316"/>
      <c r="DZ96" s="316"/>
      <c r="EA96" s="316"/>
      <c r="EB96" s="316"/>
      <c r="EC96" s="316"/>
      <c r="ED96" s="316"/>
      <c r="EE96" s="316"/>
      <c r="EF96" s="316"/>
      <c r="EG96" s="316"/>
      <c r="EH96" s="316"/>
      <c r="EI96" s="316"/>
      <c r="EJ96" s="316"/>
      <c r="EK96" s="316"/>
      <c r="EL96" s="316"/>
      <c r="EM96" s="316"/>
      <c r="EN96" s="316"/>
      <c r="EO96" s="316"/>
      <c r="EP96" s="316"/>
      <c r="EQ96" s="316"/>
      <c r="ER96" s="316"/>
      <c r="ES96" s="316"/>
      <c r="ET96" s="316"/>
      <c r="EU96" s="316"/>
      <c r="EV96" s="316"/>
      <c r="EW96" s="316"/>
      <c r="EX96" s="316"/>
      <c r="EY96" s="316"/>
      <c r="EZ96" s="316"/>
      <c r="FA96" s="316"/>
      <c r="FB96" s="316"/>
      <c r="FC96" s="316"/>
      <c r="FD96" s="316"/>
      <c r="FE96" s="316"/>
      <c r="FF96" s="316"/>
      <c r="FG96" s="316"/>
      <c r="FH96" s="316"/>
      <c r="FI96" s="316"/>
      <c r="FJ96" s="316"/>
      <c r="FK96" s="316"/>
      <c r="FL96" s="316"/>
      <c r="FM96" s="316"/>
    </row>
    <row r="97" spans="1:169" ht="24.75" customHeight="1">
      <c r="A97" s="320" t="s">
        <v>2049</v>
      </c>
      <c r="B97" s="317" t="s">
        <v>2050</v>
      </c>
      <c r="C97" s="312" t="s">
        <v>2051</v>
      </c>
      <c r="D97" s="313">
        <v>49.552999999999997</v>
      </c>
      <c r="E97" s="313">
        <v>49.698</v>
      </c>
      <c r="F97" s="313">
        <v>24809</v>
      </c>
      <c r="G97" s="313">
        <v>42039</v>
      </c>
      <c r="H97" s="313">
        <v>0</v>
      </c>
      <c r="I97" s="313">
        <v>398</v>
      </c>
      <c r="J97" s="313">
        <v>81</v>
      </c>
      <c r="K97" s="313">
        <v>1011</v>
      </c>
      <c r="L97" s="313">
        <v>0</v>
      </c>
      <c r="M97" s="313">
        <v>419</v>
      </c>
      <c r="N97" s="313">
        <f>SUM(I97:M97)</f>
        <v>1909</v>
      </c>
      <c r="O97" s="313">
        <v>24809</v>
      </c>
      <c r="P97" s="313">
        <v>0</v>
      </c>
      <c r="Q97" s="313">
        <v>2932</v>
      </c>
      <c r="R97" s="313">
        <v>0</v>
      </c>
      <c r="S97" s="319">
        <v>283</v>
      </c>
      <c r="T97" s="319">
        <v>283</v>
      </c>
      <c r="U97" s="313">
        <v>383</v>
      </c>
      <c r="V97" s="313">
        <v>21644</v>
      </c>
      <c r="W97" s="313">
        <v>21927</v>
      </c>
      <c r="X97" s="315">
        <v>20493</v>
      </c>
      <c r="Y97" s="318"/>
      <c r="AA97" s="316"/>
      <c r="AF97" s="316"/>
      <c r="AG97" s="316"/>
      <c r="AH97" s="316"/>
      <c r="AI97" s="316"/>
      <c r="AJ97" s="316"/>
      <c r="AK97" s="316"/>
      <c r="AL97" s="316"/>
      <c r="AM97" s="316"/>
      <c r="AN97" s="316"/>
      <c r="AO97" s="316"/>
      <c r="AP97" s="316"/>
      <c r="AQ97" s="316"/>
      <c r="AR97" s="316"/>
      <c r="AS97" s="316"/>
      <c r="AT97" s="316"/>
      <c r="AU97" s="316"/>
      <c r="AV97" s="316"/>
      <c r="AW97" s="316"/>
      <c r="AX97" s="316"/>
      <c r="AY97" s="316"/>
      <c r="AZ97" s="316"/>
      <c r="BA97" s="316"/>
      <c r="BB97" s="316"/>
      <c r="BC97" s="316"/>
      <c r="BD97" s="316"/>
      <c r="BE97" s="316"/>
      <c r="BF97" s="316"/>
      <c r="BG97" s="316"/>
      <c r="BH97" s="316"/>
      <c r="BI97" s="316"/>
      <c r="BJ97" s="316"/>
      <c r="BK97" s="316"/>
      <c r="BL97" s="316"/>
      <c r="BM97" s="316"/>
      <c r="BN97" s="316"/>
      <c r="BO97" s="316"/>
      <c r="BP97" s="316"/>
      <c r="BQ97" s="316"/>
      <c r="BR97" s="316"/>
      <c r="BS97" s="316"/>
      <c r="BT97" s="316"/>
      <c r="BU97" s="316"/>
      <c r="BV97" s="316"/>
      <c r="BW97" s="316"/>
      <c r="BX97" s="316"/>
      <c r="BY97" s="316"/>
      <c r="BZ97" s="316"/>
      <c r="CA97" s="316"/>
      <c r="CB97" s="316"/>
      <c r="CC97" s="316"/>
      <c r="CD97" s="316"/>
      <c r="CE97" s="316"/>
      <c r="CF97" s="316"/>
      <c r="CG97" s="316"/>
      <c r="CH97" s="316"/>
      <c r="CI97" s="316"/>
      <c r="CJ97" s="316"/>
      <c r="CK97" s="316"/>
      <c r="CL97" s="316"/>
      <c r="CM97" s="316"/>
      <c r="CN97" s="316"/>
      <c r="CO97" s="316"/>
      <c r="CP97" s="316"/>
      <c r="CQ97" s="316"/>
      <c r="CR97" s="316"/>
      <c r="CS97" s="316"/>
      <c r="CT97" s="316"/>
      <c r="CU97" s="316"/>
      <c r="CV97" s="316"/>
      <c r="CW97" s="316"/>
      <c r="CX97" s="316"/>
      <c r="CY97" s="316"/>
      <c r="CZ97" s="316"/>
      <c r="DA97" s="316"/>
      <c r="DB97" s="316"/>
      <c r="DC97" s="316"/>
      <c r="DD97" s="316"/>
      <c r="DE97" s="316"/>
      <c r="DF97" s="316"/>
      <c r="DG97" s="316"/>
      <c r="DH97" s="316"/>
      <c r="DI97" s="316"/>
      <c r="DJ97" s="316"/>
      <c r="DK97" s="316"/>
      <c r="DL97" s="316"/>
      <c r="DM97" s="316"/>
      <c r="DN97" s="316"/>
      <c r="DO97" s="316"/>
      <c r="DP97" s="316"/>
      <c r="DQ97" s="316"/>
      <c r="DR97" s="316"/>
      <c r="DS97" s="316"/>
      <c r="DT97" s="316"/>
      <c r="DU97" s="316"/>
      <c r="DV97" s="316"/>
      <c r="DW97" s="316"/>
      <c r="DX97" s="316"/>
      <c r="DY97" s="316"/>
      <c r="DZ97" s="316"/>
      <c r="EA97" s="316"/>
      <c r="EB97" s="316"/>
      <c r="EC97" s="316"/>
      <c r="ED97" s="316"/>
      <c r="EE97" s="316"/>
      <c r="EF97" s="316"/>
      <c r="EG97" s="316"/>
      <c r="EH97" s="316"/>
      <c r="EI97" s="316"/>
      <c r="EJ97" s="316"/>
      <c r="EK97" s="316"/>
      <c r="EL97" s="316"/>
      <c r="EM97" s="316"/>
      <c r="EN97" s="316"/>
      <c r="EO97" s="316"/>
      <c r="EP97" s="316"/>
      <c r="EQ97" s="316"/>
      <c r="ER97" s="316"/>
      <c r="ES97" s="316"/>
      <c r="ET97" s="316"/>
      <c r="EU97" s="316"/>
      <c r="EV97" s="316"/>
      <c r="EW97" s="316"/>
      <c r="EX97" s="316"/>
      <c r="EY97" s="316"/>
      <c r="EZ97" s="316"/>
      <c r="FA97" s="316"/>
      <c r="FB97" s="316"/>
      <c r="FC97" s="316"/>
      <c r="FD97" s="316"/>
      <c r="FE97" s="316"/>
      <c r="FF97" s="316"/>
      <c r="FG97" s="316"/>
      <c r="FH97" s="316"/>
      <c r="FI97" s="316"/>
      <c r="FJ97" s="316"/>
      <c r="FK97" s="316"/>
      <c r="FL97" s="316"/>
      <c r="FM97" s="316"/>
    </row>
    <row r="98" spans="1:169" ht="24.75" customHeight="1">
      <c r="A98" s="320" t="s">
        <v>2052</v>
      </c>
      <c r="B98" s="317" t="s">
        <v>2053</v>
      </c>
      <c r="C98" s="312" t="s">
        <v>2054</v>
      </c>
      <c r="D98" s="313">
        <v>27.778999999999996</v>
      </c>
      <c r="E98" s="313">
        <v>27.994</v>
      </c>
      <c r="F98" s="313">
        <v>9503</v>
      </c>
      <c r="G98" s="313">
        <v>13242</v>
      </c>
      <c r="H98" s="313">
        <v>0</v>
      </c>
      <c r="I98" s="313">
        <v>39</v>
      </c>
      <c r="J98" s="313">
        <v>25</v>
      </c>
      <c r="K98" s="313">
        <v>112</v>
      </c>
      <c r="L98" s="313">
        <v>0</v>
      </c>
      <c r="M98" s="313">
        <v>1144</v>
      </c>
      <c r="N98" s="313">
        <f>SUM(I98:M98)</f>
        <v>1320</v>
      </c>
      <c r="O98" s="313">
        <v>9503</v>
      </c>
      <c r="P98" s="313">
        <v>0</v>
      </c>
      <c r="Q98" s="313">
        <v>830</v>
      </c>
      <c r="R98" s="313">
        <v>0</v>
      </c>
      <c r="S98" s="313">
        <v>2</v>
      </c>
      <c r="T98" s="313">
        <v>2</v>
      </c>
      <c r="U98" s="313">
        <v>246</v>
      </c>
      <c r="V98" s="313">
        <v>11579</v>
      </c>
      <c r="W98" s="313">
        <v>11581</v>
      </c>
      <c r="X98" s="315">
        <v>11102</v>
      </c>
      <c r="Y98" s="318"/>
      <c r="AA98" s="316"/>
      <c r="AF98" s="316"/>
      <c r="AG98" s="316"/>
      <c r="AH98" s="316"/>
      <c r="AI98" s="316"/>
      <c r="AJ98" s="316"/>
      <c r="AK98" s="316"/>
      <c r="AL98" s="316"/>
      <c r="AM98" s="316"/>
      <c r="AN98" s="316"/>
      <c r="AO98" s="316"/>
      <c r="AP98" s="316"/>
      <c r="AQ98" s="316"/>
      <c r="AR98" s="316"/>
      <c r="AS98" s="316"/>
      <c r="AT98" s="316"/>
      <c r="AU98" s="316"/>
      <c r="AV98" s="316"/>
      <c r="AW98" s="316"/>
      <c r="AX98" s="316"/>
      <c r="AY98" s="316"/>
      <c r="AZ98" s="316"/>
      <c r="BA98" s="316"/>
      <c r="BB98" s="316"/>
      <c r="BC98" s="316"/>
      <c r="BD98" s="316"/>
      <c r="BE98" s="316"/>
      <c r="BF98" s="316"/>
      <c r="BG98" s="316"/>
      <c r="BH98" s="316"/>
      <c r="BI98" s="316"/>
      <c r="BJ98" s="316"/>
      <c r="BK98" s="316"/>
      <c r="BL98" s="316"/>
      <c r="BM98" s="316"/>
      <c r="BN98" s="316"/>
      <c r="BO98" s="316"/>
      <c r="BP98" s="316"/>
      <c r="BQ98" s="316"/>
      <c r="BR98" s="316"/>
      <c r="BS98" s="316"/>
      <c r="BT98" s="316"/>
      <c r="BU98" s="316"/>
      <c r="BV98" s="316"/>
      <c r="BW98" s="316"/>
      <c r="BX98" s="316"/>
      <c r="BY98" s="316"/>
      <c r="BZ98" s="316"/>
      <c r="CA98" s="316"/>
      <c r="CB98" s="316"/>
      <c r="CC98" s="316"/>
      <c r="CD98" s="316"/>
      <c r="CE98" s="316"/>
      <c r="CF98" s="316"/>
      <c r="CG98" s="316"/>
      <c r="CH98" s="316"/>
      <c r="CI98" s="316"/>
      <c r="CJ98" s="316"/>
      <c r="CK98" s="316"/>
      <c r="CL98" s="316"/>
      <c r="CM98" s="316"/>
      <c r="CN98" s="316"/>
      <c r="CO98" s="316"/>
      <c r="CP98" s="316"/>
      <c r="CQ98" s="316"/>
      <c r="CR98" s="316"/>
      <c r="CS98" s="316"/>
      <c r="CT98" s="316"/>
      <c r="CU98" s="316"/>
      <c r="CV98" s="316"/>
      <c r="CW98" s="316"/>
      <c r="CX98" s="316"/>
      <c r="CY98" s="316"/>
      <c r="CZ98" s="316"/>
      <c r="DA98" s="316"/>
      <c r="DB98" s="316"/>
      <c r="DC98" s="316"/>
      <c r="DD98" s="316"/>
      <c r="DE98" s="316"/>
      <c r="DF98" s="316"/>
      <c r="DG98" s="316"/>
      <c r="DH98" s="316"/>
      <c r="DI98" s="316"/>
      <c r="DJ98" s="316"/>
      <c r="DK98" s="316"/>
      <c r="DL98" s="316"/>
      <c r="DM98" s="316"/>
      <c r="DN98" s="316"/>
      <c r="DO98" s="316"/>
      <c r="DP98" s="316"/>
      <c r="DQ98" s="316"/>
      <c r="DR98" s="316"/>
      <c r="DS98" s="316"/>
      <c r="DT98" s="316"/>
      <c r="DU98" s="316"/>
      <c r="DV98" s="316"/>
      <c r="DW98" s="316"/>
      <c r="DX98" s="316"/>
      <c r="DY98" s="316"/>
      <c r="DZ98" s="316"/>
      <c r="EA98" s="316"/>
      <c r="EB98" s="316"/>
      <c r="EC98" s="316"/>
      <c r="ED98" s="316"/>
      <c r="EE98" s="316"/>
      <c r="EF98" s="316"/>
      <c r="EG98" s="316"/>
      <c r="EH98" s="316"/>
      <c r="EI98" s="316"/>
      <c r="EJ98" s="316"/>
      <c r="EK98" s="316"/>
      <c r="EL98" s="316"/>
      <c r="EM98" s="316"/>
      <c r="EN98" s="316"/>
      <c r="EO98" s="316"/>
      <c r="EP98" s="316"/>
      <c r="EQ98" s="316"/>
      <c r="ER98" s="316"/>
      <c r="ES98" s="316"/>
      <c r="ET98" s="316"/>
      <c r="EU98" s="316"/>
      <c r="EV98" s="316"/>
      <c r="EW98" s="316"/>
      <c r="EX98" s="316"/>
      <c r="EY98" s="316"/>
      <c r="EZ98" s="316"/>
      <c r="FA98" s="316"/>
      <c r="FB98" s="316"/>
      <c r="FC98" s="316"/>
      <c r="FD98" s="316"/>
      <c r="FE98" s="316"/>
      <c r="FF98" s="316"/>
      <c r="FG98" s="316"/>
      <c r="FH98" s="316"/>
      <c r="FI98" s="316"/>
      <c r="FJ98" s="316"/>
      <c r="FK98" s="316"/>
      <c r="FL98" s="316"/>
      <c r="FM98" s="316"/>
    </row>
    <row r="99" spans="1:169" ht="24.75" customHeight="1">
      <c r="A99" s="320" t="s">
        <v>2055</v>
      </c>
      <c r="B99" s="317" t="s">
        <v>2056</v>
      </c>
      <c r="C99" s="312" t="s">
        <v>2057</v>
      </c>
      <c r="D99" s="313">
        <v>31.347000000000001</v>
      </c>
      <c r="E99" s="313">
        <v>31.353999999999999</v>
      </c>
      <c r="F99" s="313">
        <v>23282</v>
      </c>
      <c r="G99" s="313">
        <v>23821</v>
      </c>
      <c r="H99" s="313">
        <v>0</v>
      </c>
      <c r="I99" s="313">
        <v>332</v>
      </c>
      <c r="J99" s="313">
        <v>424</v>
      </c>
      <c r="K99" s="313">
        <v>1285</v>
      </c>
      <c r="L99" s="313">
        <v>779</v>
      </c>
      <c r="M99" s="313">
        <v>987</v>
      </c>
      <c r="N99" s="313">
        <f>SUM(I99:M99)</f>
        <v>3807</v>
      </c>
      <c r="O99" s="313">
        <v>23282</v>
      </c>
      <c r="P99" s="313">
        <v>0</v>
      </c>
      <c r="Q99" s="313">
        <v>1827</v>
      </c>
      <c r="R99" s="313">
        <v>0</v>
      </c>
      <c r="S99" s="313">
        <v>226</v>
      </c>
      <c r="T99" s="313">
        <v>226</v>
      </c>
      <c r="U99" s="313">
        <v>312</v>
      </c>
      <c r="V99" s="313">
        <v>14389</v>
      </c>
      <c r="W99" s="313">
        <v>14615</v>
      </c>
      <c r="X99" s="315">
        <v>13301</v>
      </c>
      <c r="Y99" s="318"/>
      <c r="AA99" s="316"/>
      <c r="AF99" s="316"/>
      <c r="AG99" s="316"/>
      <c r="AH99" s="316"/>
      <c r="AI99" s="316"/>
      <c r="AJ99" s="316"/>
      <c r="AK99" s="316"/>
      <c r="AL99" s="316"/>
      <c r="AM99" s="316"/>
      <c r="AN99" s="316"/>
      <c r="AO99" s="316"/>
      <c r="AP99" s="316"/>
      <c r="AQ99" s="316"/>
      <c r="AR99" s="316"/>
      <c r="AS99" s="316"/>
      <c r="AT99" s="316"/>
      <c r="AU99" s="316"/>
      <c r="AV99" s="316"/>
      <c r="AW99" s="316"/>
      <c r="AX99" s="316"/>
      <c r="AY99" s="316"/>
      <c r="AZ99" s="316"/>
      <c r="BA99" s="316"/>
      <c r="BB99" s="316"/>
      <c r="BC99" s="316"/>
      <c r="BD99" s="316"/>
      <c r="BE99" s="316"/>
      <c r="BF99" s="316"/>
      <c r="BG99" s="316"/>
      <c r="BH99" s="316"/>
      <c r="BI99" s="316"/>
      <c r="BJ99" s="316"/>
      <c r="BK99" s="316"/>
      <c r="BL99" s="316"/>
      <c r="BM99" s="316"/>
      <c r="BN99" s="316"/>
      <c r="BO99" s="316"/>
      <c r="BP99" s="316"/>
      <c r="BQ99" s="316"/>
      <c r="BR99" s="316"/>
      <c r="BS99" s="316"/>
      <c r="BT99" s="316"/>
      <c r="BU99" s="316"/>
      <c r="BV99" s="316"/>
      <c r="BW99" s="316"/>
      <c r="BX99" s="316"/>
      <c r="BY99" s="316"/>
      <c r="BZ99" s="316"/>
      <c r="CA99" s="316"/>
      <c r="CB99" s="316"/>
      <c r="CC99" s="316"/>
      <c r="CD99" s="316"/>
      <c r="CE99" s="316"/>
      <c r="CF99" s="316"/>
      <c r="CG99" s="316"/>
      <c r="CH99" s="316"/>
      <c r="CI99" s="316"/>
      <c r="CJ99" s="316"/>
      <c r="CK99" s="316"/>
      <c r="CL99" s="316"/>
      <c r="CM99" s="316"/>
      <c r="CN99" s="316"/>
      <c r="CO99" s="316"/>
      <c r="CP99" s="316"/>
      <c r="CQ99" s="316"/>
      <c r="CR99" s="316"/>
      <c r="CS99" s="316"/>
      <c r="CT99" s="316"/>
      <c r="CU99" s="316"/>
      <c r="CV99" s="316"/>
      <c r="CW99" s="316"/>
      <c r="CX99" s="316"/>
      <c r="CY99" s="316"/>
      <c r="CZ99" s="316"/>
      <c r="DA99" s="316"/>
      <c r="DB99" s="316"/>
      <c r="DC99" s="316"/>
      <c r="DD99" s="316"/>
      <c r="DE99" s="316"/>
      <c r="DF99" s="316"/>
      <c r="DG99" s="316"/>
      <c r="DH99" s="316"/>
      <c r="DI99" s="316"/>
      <c r="DJ99" s="316"/>
      <c r="DK99" s="316"/>
      <c r="DL99" s="316"/>
      <c r="DM99" s="316"/>
      <c r="DN99" s="316"/>
      <c r="DO99" s="316"/>
      <c r="DP99" s="316"/>
      <c r="DQ99" s="316"/>
      <c r="DR99" s="316"/>
      <c r="DS99" s="316"/>
      <c r="DT99" s="316"/>
      <c r="DU99" s="316"/>
      <c r="DV99" s="316"/>
      <c r="DW99" s="316"/>
      <c r="DX99" s="316"/>
      <c r="DY99" s="316"/>
      <c r="DZ99" s="316"/>
      <c r="EA99" s="316"/>
      <c r="EB99" s="316"/>
      <c r="EC99" s="316"/>
      <c r="ED99" s="316"/>
      <c r="EE99" s="316"/>
      <c r="EF99" s="316"/>
      <c r="EG99" s="316"/>
      <c r="EH99" s="316"/>
      <c r="EI99" s="316"/>
      <c r="EJ99" s="316"/>
      <c r="EK99" s="316"/>
      <c r="EL99" s="316"/>
      <c r="EM99" s="316"/>
      <c r="EN99" s="316"/>
      <c r="EO99" s="316"/>
      <c r="EP99" s="316"/>
      <c r="EQ99" s="316"/>
      <c r="ER99" s="316"/>
      <c r="ES99" s="316"/>
      <c r="ET99" s="316"/>
      <c r="EU99" s="316"/>
      <c r="EV99" s="316"/>
      <c r="EW99" s="316"/>
      <c r="EX99" s="316"/>
      <c r="EY99" s="316"/>
      <c r="EZ99" s="316"/>
      <c r="FA99" s="316"/>
      <c r="FB99" s="316"/>
      <c r="FC99" s="316"/>
      <c r="FD99" s="316"/>
      <c r="FE99" s="316"/>
      <c r="FF99" s="316"/>
      <c r="FG99" s="316"/>
      <c r="FH99" s="316"/>
      <c r="FI99" s="316"/>
      <c r="FJ99" s="316"/>
      <c r="FK99" s="316"/>
      <c r="FL99" s="316"/>
      <c r="FM99" s="316"/>
    </row>
    <row r="100" spans="1:169" ht="24.75" customHeight="1">
      <c r="A100" s="320" t="s">
        <v>2058</v>
      </c>
      <c r="B100" s="317" t="s">
        <v>2059</v>
      </c>
      <c r="C100" s="312" t="s">
        <v>2060</v>
      </c>
      <c r="D100" s="313">
        <v>29.007999999999999</v>
      </c>
      <c r="E100" s="313">
        <v>29.338000000000001</v>
      </c>
      <c r="F100" s="313">
        <v>38623</v>
      </c>
      <c r="G100" s="313">
        <v>50322</v>
      </c>
      <c r="H100" s="313">
        <v>0</v>
      </c>
      <c r="I100" s="313">
        <v>52</v>
      </c>
      <c r="J100" s="313">
        <v>308</v>
      </c>
      <c r="K100" s="313">
        <v>216</v>
      </c>
      <c r="L100" s="313">
        <v>665</v>
      </c>
      <c r="M100" s="313">
        <v>452</v>
      </c>
      <c r="N100" s="313">
        <f>SUM(I100:M100)</f>
        <v>1693</v>
      </c>
      <c r="O100" s="313">
        <v>38623</v>
      </c>
      <c r="P100" s="313">
        <v>0</v>
      </c>
      <c r="Q100" s="313">
        <v>1245</v>
      </c>
      <c r="R100" s="313">
        <v>0</v>
      </c>
      <c r="S100" s="313">
        <v>1</v>
      </c>
      <c r="T100" s="313">
        <v>1</v>
      </c>
      <c r="U100" s="313">
        <v>550</v>
      </c>
      <c r="V100" s="313">
        <v>15314</v>
      </c>
      <c r="W100" s="313">
        <v>15315</v>
      </c>
      <c r="X100" s="315">
        <v>14674</v>
      </c>
      <c r="Y100" s="318"/>
      <c r="AA100" s="316"/>
      <c r="AF100" s="316"/>
      <c r="AG100" s="316"/>
      <c r="AH100" s="316"/>
      <c r="AI100" s="316"/>
      <c r="AJ100" s="316"/>
      <c r="AK100" s="316"/>
      <c r="AL100" s="316"/>
      <c r="AM100" s="316"/>
      <c r="AN100" s="316"/>
      <c r="AO100" s="316"/>
      <c r="AP100" s="316"/>
      <c r="AQ100" s="316"/>
      <c r="AR100" s="316"/>
      <c r="AS100" s="316"/>
      <c r="AT100" s="316"/>
      <c r="AU100" s="316"/>
      <c r="AV100" s="316"/>
      <c r="AW100" s="316"/>
      <c r="AX100" s="316"/>
      <c r="AY100" s="316"/>
      <c r="AZ100" s="316"/>
      <c r="BA100" s="316"/>
      <c r="BB100" s="316"/>
      <c r="BC100" s="316"/>
      <c r="BD100" s="316"/>
      <c r="BE100" s="316"/>
      <c r="BF100" s="316"/>
      <c r="BG100" s="316"/>
      <c r="BH100" s="316"/>
      <c r="BI100" s="316"/>
      <c r="BJ100" s="316"/>
      <c r="BK100" s="316"/>
      <c r="BL100" s="316"/>
      <c r="BM100" s="316"/>
      <c r="BN100" s="316"/>
      <c r="BO100" s="316"/>
      <c r="BP100" s="316"/>
      <c r="BQ100" s="316"/>
      <c r="BR100" s="316"/>
      <c r="BS100" s="316"/>
      <c r="BT100" s="316"/>
      <c r="BU100" s="316"/>
      <c r="BV100" s="316"/>
      <c r="BW100" s="316"/>
      <c r="BX100" s="316"/>
      <c r="BY100" s="316"/>
      <c r="BZ100" s="316"/>
      <c r="CA100" s="316"/>
      <c r="CB100" s="316"/>
      <c r="CC100" s="316"/>
      <c r="CD100" s="316"/>
      <c r="CE100" s="316"/>
      <c r="CF100" s="316"/>
      <c r="CG100" s="316"/>
      <c r="CH100" s="316"/>
      <c r="CI100" s="316"/>
      <c r="CJ100" s="316"/>
      <c r="CK100" s="316"/>
      <c r="CL100" s="316"/>
      <c r="CM100" s="316"/>
      <c r="CN100" s="316"/>
      <c r="CO100" s="316"/>
      <c r="CP100" s="316"/>
      <c r="CQ100" s="316"/>
      <c r="CR100" s="316"/>
      <c r="CS100" s="316"/>
      <c r="CT100" s="316"/>
      <c r="CU100" s="316"/>
      <c r="CV100" s="316"/>
      <c r="CW100" s="316"/>
      <c r="CX100" s="316"/>
      <c r="CY100" s="316"/>
      <c r="CZ100" s="316"/>
      <c r="DA100" s="316"/>
      <c r="DB100" s="316"/>
      <c r="DC100" s="316"/>
      <c r="DD100" s="316"/>
      <c r="DE100" s="316"/>
      <c r="DF100" s="316"/>
      <c r="DG100" s="316"/>
      <c r="DH100" s="316"/>
      <c r="DI100" s="316"/>
      <c r="DJ100" s="316"/>
      <c r="DK100" s="316"/>
      <c r="DL100" s="316"/>
      <c r="DM100" s="316"/>
      <c r="DN100" s="316"/>
      <c r="DO100" s="316"/>
      <c r="DP100" s="316"/>
      <c r="DQ100" s="316"/>
      <c r="DR100" s="316"/>
      <c r="DS100" s="316"/>
      <c r="DT100" s="316"/>
      <c r="DU100" s="316"/>
      <c r="DV100" s="316"/>
      <c r="DW100" s="316"/>
      <c r="DX100" s="316"/>
      <c r="DY100" s="316"/>
      <c r="DZ100" s="316"/>
      <c r="EA100" s="316"/>
      <c r="EB100" s="316"/>
      <c r="EC100" s="316"/>
      <c r="ED100" s="316"/>
      <c r="EE100" s="316"/>
      <c r="EF100" s="316"/>
      <c r="EG100" s="316"/>
      <c r="EH100" s="316"/>
      <c r="EI100" s="316"/>
      <c r="EJ100" s="316"/>
      <c r="EK100" s="316"/>
      <c r="EL100" s="316"/>
      <c r="EM100" s="316"/>
      <c r="EN100" s="316"/>
      <c r="EO100" s="316"/>
      <c r="EP100" s="316"/>
      <c r="EQ100" s="316"/>
      <c r="ER100" s="316"/>
      <c r="ES100" s="316"/>
      <c r="ET100" s="316"/>
      <c r="EU100" s="316"/>
      <c r="EV100" s="316"/>
      <c r="EW100" s="316"/>
      <c r="EX100" s="316"/>
      <c r="EY100" s="316"/>
      <c r="EZ100" s="316"/>
      <c r="FA100" s="316"/>
      <c r="FB100" s="316"/>
      <c r="FC100" s="316"/>
      <c r="FD100" s="316"/>
      <c r="FE100" s="316"/>
      <c r="FF100" s="316"/>
      <c r="FG100" s="316"/>
      <c r="FH100" s="316"/>
      <c r="FI100" s="316"/>
      <c r="FJ100" s="316"/>
      <c r="FK100" s="316"/>
      <c r="FL100" s="316"/>
      <c r="FM100" s="316"/>
    </row>
    <row r="101" spans="1:169" s="332" customFormat="1" ht="24.75" customHeight="1">
      <c r="A101" s="333" t="s">
        <v>2061</v>
      </c>
      <c r="B101" s="328"/>
      <c r="C101" s="323"/>
      <c r="D101" s="324"/>
      <c r="E101" s="324"/>
      <c r="F101" s="324"/>
      <c r="G101" s="324"/>
      <c r="H101" s="324"/>
      <c r="I101" s="324"/>
      <c r="J101" s="325"/>
      <c r="K101" s="324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6"/>
      <c r="Y101" s="318"/>
      <c r="Z101" s="118"/>
      <c r="AA101" s="316"/>
      <c r="AB101" s="118"/>
      <c r="AC101" s="118"/>
      <c r="AD101" s="118"/>
      <c r="AE101" s="118"/>
      <c r="AF101" s="316"/>
      <c r="AG101" s="316"/>
      <c r="AH101" s="316"/>
      <c r="AI101" s="316"/>
      <c r="AJ101" s="316"/>
      <c r="AK101" s="316"/>
      <c r="AL101" s="316"/>
      <c r="AM101" s="316"/>
      <c r="AN101" s="316"/>
      <c r="AO101" s="316"/>
      <c r="AP101" s="316"/>
      <c r="AQ101" s="316"/>
      <c r="AR101" s="316"/>
      <c r="AS101" s="316"/>
      <c r="AT101" s="316"/>
      <c r="AU101" s="316"/>
      <c r="AV101" s="316"/>
      <c r="AW101" s="316"/>
      <c r="AX101" s="316"/>
      <c r="AY101" s="316"/>
      <c r="AZ101" s="316"/>
      <c r="BA101" s="316"/>
      <c r="BB101" s="316"/>
      <c r="BC101" s="316"/>
      <c r="BD101" s="316"/>
      <c r="BE101" s="316"/>
      <c r="BF101" s="316"/>
      <c r="BG101" s="316"/>
      <c r="BH101" s="316"/>
      <c r="BI101" s="316"/>
      <c r="BJ101" s="316"/>
      <c r="BK101" s="316"/>
      <c r="BL101" s="316"/>
      <c r="BM101" s="316"/>
      <c r="BN101" s="316"/>
      <c r="BO101" s="316"/>
      <c r="BP101" s="316"/>
      <c r="BQ101" s="316"/>
      <c r="BR101" s="316"/>
      <c r="BS101" s="316"/>
      <c r="BT101" s="316"/>
      <c r="BU101" s="316"/>
      <c r="BV101" s="316"/>
      <c r="BW101" s="316"/>
      <c r="BX101" s="316"/>
      <c r="BY101" s="316"/>
      <c r="BZ101" s="316"/>
      <c r="CA101" s="316"/>
      <c r="CB101" s="316"/>
      <c r="CC101" s="316"/>
      <c r="CD101" s="316"/>
      <c r="CE101" s="316"/>
      <c r="CF101" s="316"/>
      <c r="CG101" s="316"/>
      <c r="CH101" s="316"/>
      <c r="CI101" s="316"/>
      <c r="CJ101" s="316"/>
      <c r="CK101" s="316"/>
      <c r="CL101" s="316"/>
      <c r="CM101" s="316"/>
      <c r="CN101" s="316"/>
      <c r="CO101" s="316"/>
      <c r="CP101" s="316"/>
      <c r="CQ101" s="316"/>
      <c r="CR101" s="316"/>
      <c r="CS101" s="316"/>
      <c r="CT101" s="316"/>
      <c r="CU101" s="316"/>
      <c r="CV101" s="316"/>
      <c r="CW101" s="316"/>
      <c r="CX101" s="316"/>
      <c r="CY101" s="316"/>
      <c r="CZ101" s="316"/>
      <c r="DA101" s="316"/>
      <c r="DB101" s="316"/>
      <c r="DC101" s="316"/>
      <c r="DD101" s="316"/>
      <c r="DE101" s="316"/>
      <c r="DF101" s="316"/>
      <c r="DG101" s="316"/>
      <c r="DH101" s="316"/>
      <c r="DI101" s="316"/>
      <c r="DJ101" s="316"/>
      <c r="DK101" s="316"/>
      <c r="DL101" s="316"/>
      <c r="DM101" s="316"/>
      <c r="DN101" s="316"/>
      <c r="DO101" s="316"/>
      <c r="DP101" s="316"/>
      <c r="DQ101" s="316"/>
      <c r="DR101" s="316"/>
      <c r="DS101" s="316"/>
      <c r="DT101" s="316"/>
      <c r="DU101" s="316"/>
      <c r="DV101" s="316"/>
      <c r="DW101" s="316"/>
      <c r="DX101" s="316"/>
      <c r="DY101" s="316"/>
      <c r="DZ101" s="316"/>
      <c r="EA101" s="316"/>
      <c r="EB101" s="316"/>
      <c r="EC101" s="316"/>
      <c r="ED101" s="316"/>
      <c r="EE101" s="316"/>
      <c r="EF101" s="316"/>
      <c r="EG101" s="316"/>
      <c r="EH101" s="316"/>
      <c r="EI101" s="316"/>
      <c r="EJ101" s="316"/>
      <c r="EK101" s="316"/>
      <c r="EL101" s="316"/>
      <c r="EM101" s="316"/>
      <c r="EN101" s="316"/>
      <c r="EO101" s="316"/>
      <c r="EP101" s="316"/>
      <c r="EQ101" s="316"/>
      <c r="ER101" s="316"/>
      <c r="ES101" s="316"/>
      <c r="ET101" s="316"/>
      <c r="EU101" s="316"/>
      <c r="EV101" s="316"/>
      <c r="EW101" s="316"/>
      <c r="EX101" s="316"/>
      <c r="EY101" s="316"/>
      <c r="EZ101" s="316"/>
      <c r="FA101" s="316"/>
      <c r="FB101" s="316"/>
      <c r="FC101" s="316"/>
      <c r="FD101" s="316"/>
      <c r="FE101" s="316"/>
      <c r="FF101" s="316"/>
      <c r="FG101" s="316"/>
      <c r="FH101" s="316"/>
      <c r="FI101" s="316"/>
      <c r="FJ101" s="316"/>
      <c r="FK101" s="316"/>
      <c r="FL101" s="316"/>
      <c r="FM101" s="316"/>
    </row>
    <row r="102" spans="1:169" ht="33" customHeight="1">
      <c r="A102" s="320" t="s">
        <v>2062</v>
      </c>
      <c r="B102" s="317" t="s">
        <v>2063</v>
      </c>
      <c r="C102" s="312" t="s">
        <v>2064</v>
      </c>
      <c r="D102" s="313">
        <v>91.8</v>
      </c>
      <c r="E102" s="313">
        <v>91.34</v>
      </c>
      <c r="F102" s="313">
        <v>70672</v>
      </c>
      <c r="G102" s="313">
        <v>102449</v>
      </c>
      <c r="H102" s="313">
        <v>0</v>
      </c>
      <c r="I102" s="313">
        <v>303</v>
      </c>
      <c r="J102" s="330">
        <v>285</v>
      </c>
      <c r="K102" s="313">
        <v>856</v>
      </c>
      <c r="L102" s="313">
        <v>909</v>
      </c>
      <c r="M102" s="313">
        <v>3611</v>
      </c>
      <c r="N102" s="313">
        <f t="shared" ref="N102:N108" si="8">SUM(I102:M102)</f>
        <v>5964</v>
      </c>
      <c r="O102" s="313">
        <v>70672</v>
      </c>
      <c r="P102" s="313">
        <v>2059</v>
      </c>
      <c r="Q102" s="313">
        <v>4490</v>
      </c>
      <c r="R102" s="313">
        <v>0</v>
      </c>
      <c r="S102" s="313">
        <v>285</v>
      </c>
      <c r="T102" s="313">
        <v>277</v>
      </c>
      <c r="U102" s="313">
        <v>925</v>
      </c>
      <c r="V102" s="313">
        <v>52704</v>
      </c>
      <c r="W102" s="313">
        <v>52989</v>
      </c>
      <c r="X102" s="315">
        <v>45634</v>
      </c>
      <c r="Y102" s="318"/>
      <c r="Z102" s="316"/>
      <c r="AA102" s="316"/>
      <c r="AB102" s="316"/>
      <c r="AC102" s="316"/>
      <c r="AD102" s="316"/>
      <c r="AE102" s="316"/>
      <c r="AF102" s="316"/>
      <c r="AG102" s="316"/>
      <c r="AH102" s="316"/>
      <c r="AI102" s="316"/>
      <c r="AJ102" s="316"/>
      <c r="AK102" s="316"/>
      <c r="AL102" s="316"/>
      <c r="AM102" s="316"/>
      <c r="AN102" s="316"/>
      <c r="AO102" s="316"/>
      <c r="AP102" s="316"/>
      <c r="AQ102" s="316"/>
      <c r="AR102" s="316"/>
      <c r="AS102" s="316"/>
      <c r="AT102" s="316"/>
      <c r="AU102" s="316"/>
      <c r="AV102" s="316"/>
      <c r="AW102" s="316"/>
      <c r="AX102" s="316"/>
      <c r="AY102" s="316"/>
      <c r="AZ102" s="316"/>
      <c r="BA102" s="316"/>
      <c r="BB102" s="316"/>
      <c r="BC102" s="316"/>
      <c r="BD102" s="316"/>
      <c r="BE102" s="316"/>
      <c r="BF102" s="316"/>
      <c r="BG102" s="316"/>
      <c r="BH102" s="316"/>
      <c r="BI102" s="316"/>
      <c r="BJ102" s="316"/>
      <c r="BK102" s="316"/>
      <c r="BL102" s="316"/>
      <c r="BM102" s="316"/>
      <c r="BN102" s="316"/>
      <c r="BO102" s="316"/>
      <c r="BP102" s="316"/>
      <c r="BQ102" s="316"/>
      <c r="BR102" s="316"/>
      <c r="BS102" s="316"/>
      <c r="BT102" s="316"/>
      <c r="BU102" s="316"/>
      <c r="BV102" s="316"/>
      <c r="BW102" s="316"/>
      <c r="BX102" s="316"/>
      <c r="BY102" s="316"/>
      <c r="BZ102" s="316"/>
      <c r="CA102" s="316"/>
      <c r="CB102" s="316"/>
      <c r="CC102" s="316"/>
      <c r="CD102" s="316"/>
      <c r="CE102" s="316"/>
      <c r="CF102" s="316"/>
      <c r="CG102" s="316"/>
      <c r="CH102" s="316"/>
      <c r="CI102" s="316"/>
      <c r="CJ102" s="316"/>
      <c r="CK102" s="316"/>
      <c r="CL102" s="316"/>
      <c r="CM102" s="316"/>
      <c r="CN102" s="316"/>
      <c r="CO102" s="316"/>
      <c r="CP102" s="316"/>
      <c r="CQ102" s="316"/>
      <c r="CR102" s="316"/>
      <c r="CS102" s="316"/>
      <c r="CT102" s="316"/>
      <c r="CU102" s="316"/>
      <c r="CV102" s="316"/>
      <c r="CW102" s="316"/>
      <c r="CX102" s="316"/>
      <c r="CY102" s="316"/>
      <c r="CZ102" s="316"/>
      <c r="DA102" s="316"/>
      <c r="DB102" s="316"/>
      <c r="DC102" s="316"/>
      <c r="DD102" s="316"/>
      <c r="DE102" s="316"/>
      <c r="DF102" s="316"/>
      <c r="DG102" s="316"/>
      <c r="DH102" s="316"/>
      <c r="DI102" s="316"/>
      <c r="DJ102" s="316"/>
      <c r="DK102" s="316"/>
      <c r="DL102" s="316"/>
      <c r="DM102" s="316"/>
      <c r="DN102" s="316"/>
      <c r="DO102" s="316"/>
      <c r="DP102" s="316"/>
      <c r="DQ102" s="316"/>
      <c r="DR102" s="316"/>
      <c r="DS102" s="316"/>
      <c r="DT102" s="316"/>
      <c r="DU102" s="316"/>
      <c r="DV102" s="316"/>
      <c r="DW102" s="316"/>
      <c r="DX102" s="316"/>
      <c r="DY102" s="316"/>
      <c r="DZ102" s="316"/>
      <c r="EA102" s="316"/>
      <c r="EB102" s="316"/>
      <c r="EC102" s="316"/>
      <c r="ED102" s="316"/>
      <c r="EE102" s="316"/>
      <c r="EF102" s="316"/>
      <c r="EG102" s="316"/>
      <c r="EH102" s="316"/>
      <c r="EI102" s="316"/>
      <c r="EJ102" s="316"/>
      <c r="EK102" s="316"/>
      <c r="EL102" s="316"/>
      <c r="EM102" s="316"/>
      <c r="EN102" s="316"/>
      <c r="EO102" s="316"/>
      <c r="EP102" s="316"/>
      <c r="EQ102" s="316"/>
      <c r="ER102" s="316"/>
      <c r="ES102" s="316"/>
      <c r="ET102" s="316"/>
      <c r="EU102" s="316"/>
      <c r="EV102" s="316"/>
      <c r="EW102" s="316"/>
      <c r="EX102" s="316"/>
      <c r="EY102" s="316"/>
      <c r="EZ102" s="316"/>
      <c r="FA102" s="316"/>
      <c r="FB102" s="316"/>
      <c r="FC102" s="316"/>
      <c r="FD102" s="316"/>
      <c r="FE102" s="316"/>
      <c r="FF102" s="316"/>
      <c r="FG102" s="316"/>
      <c r="FH102" s="316"/>
      <c r="FI102" s="316"/>
      <c r="FJ102" s="316"/>
      <c r="FK102" s="316"/>
      <c r="FL102" s="316"/>
      <c r="FM102" s="316"/>
    </row>
    <row r="103" spans="1:169" ht="24.75" customHeight="1">
      <c r="A103" s="320" t="s">
        <v>2065</v>
      </c>
      <c r="B103" s="317" t="s">
        <v>2066</v>
      </c>
      <c r="C103" s="312" t="s">
        <v>2067</v>
      </c>
      <c r="D103" s="313">
        <v>39.1</v>
      </c>
      <c r="E103" s="313">
        <v>41</v>
      </c>
      <c r="F103" s="313">
        <v>56460.38</v>
      </c>
      <c r="G103" s="313">
        <v>67994.570000000007</v>
      </c>
      <c r="H103" s="313">
        <v>0</v>
      </c>
      <c r="I103" s="313">
        <v>115.89</v>
      </c>
      <c r="J103" s="313">
        <v>332.36</v>
      </c>
      <c r="K103" s="313">
        <v>383.72</v>
      </c>
      <c r="L103" s="313">
        <v>3</v>
      </c>
      <c r="M103" s="313">
        <v>2507.23</v>
      </c>
      <c r="N103" s="313">
        <f t="shared" si="8"/>
        <v>3342.2</v>
      </c>
      <c r="O103" s="313">
        <v>56460.38</v>
      </c>
      <c r="P103" s="313">
        <v>0</v>
      </c>
      <c r="Q103" s="313">
        <v>1616.31</v>
      </c>
      <c r="R103" s="313">
        <v>0</v>
      </c>
      <c r="S103" s="313">
        <v>54.83</v>
      </c>
      <c r="T103" s="313">
        <v>46.7</v>
      </c>
      <c r="U103" s="313">
        <v>1310.4100000000001</v>
      </c>
      <c r="V103" s="313">
        <v>19732.310000000001</v>
      </c>
      <c r="W103" s="313">
        <v>19787.14</v>
      </c>
      <c r="X103" s="315">
        <v>16719.25</v>
      </c>
      <c r="Z103" s="316"/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316"/>
      <c r="AM103" s="316"/>
      <c r="AN103" s="316"/>
      <c r="AO103" s="316"/>
      <c r="AP103" s="316"/>
      <c r="AQ103" s="316"/>
      <c r="AR103" s="316"/>
      <c r="AS103" s="316"/>
      <c r="AT103" s="316"/>
      <c r="AU103" s="316"/>
      <c r="AV103" s="316"/>
      <c r="AW103" s="316"/>
      <c r="AX103" s="316"/>
      <c r="AY103" s="316"/>
      <c r="AZ103" s="316"/>
      <c r="BA103" s="316"/>
      <c r="BB103" s="316"/>
      <c r="BC103" s="316"/>
      <c r="BD103" s="316"/>
      <c r="BE103" s="316"/>
      <c r="BF103" s="316"/>
      <c r="BG103" s="316"/>
      <c r="BH103" s="316"/>
      <c r="BI103" s="316"/>
      <c r="BJ103" s="316"/>
      <c r="BK103" s="316"/>
      <c r="BL103" s="316"/>
      <c r="BM103" s="316"/>
      <c r="BN103" s="316"/>
      <c r="BO103" s="316"/>
      <c r="BP103" s="316"/>
      <c r="BQ103" s="316"/>
      <c r="BR103" s="316"/>
      <c r="BS103" s="316"/>
      <c r="BT103" s="316"/>
      <c r="BU103" s="316"/>
      <c r="BV103" s="316"/>
      <c r="BW103" s="316"/>
      <c r="BX103" s="316"/>
      <c r="BY103" s="316"/>
      <c r="BZ103" s="316"/>
      <c r="CA103" s="316"/>
      <c r="CB103" s="316"/>
      <c r="CC103" s="316"/>
      <c r="CD103" s="316"/>
      <c r="CE103" s="316"/>
      <c r="CF103" s="316"/>
      <c r="CG103" s="316"/>
      <c r="CH103" s="316"/>
      <c r="CI103" s="316"/>
      <c r="CJ103" s="316"/>
      <c r="CK103" s="316"/>
      <c r="CL103" s="316"/>
      <c r="CM103" s="316"/>
      <c r="CN103" s="316"/>
      <c r="CO103" s="316"/>
      <c r="CP103" s="316"/>
      <c r="CQ103" s="316"/>
      <c r="CR103" s="316"/>
      <c r="CS103" s="316"/>
      <c r="CT103" s="316"/>
      <c r="CU103" s="316"/>
      <c r="CV103" s="316"/>
      <c r="CW103" s="316"/>
      <c r="CX103" s="316"/>
      <c r="CY103" s="316"/>
      <c r="CZ103" s="316"/>
      <c r="DA103" s="316"/>
      <c r="DB103" s="316"/>
      <c r="DC103" s="316"/>
      <c r="DD103" s="316"/>
      <c r="DE103" s="316"/>
      <c r="DF103" s="316"/>
      <c r="DG103" s="316"/>
      <c r="DH103" s="316"/>
      <c r="DI103" s="316"/>
      <c r="DJ103" s="316"/>
      <c r="DK103" s="316"/>
      <c r="DL103" s="316"/>
      <c r="DM103" s="316"/>
      <c r="DN103" s="316"/>
      <c r="DO103" s="316"/>
      <c r="DP103" s="316"/>
      <c r="DQ103" s="316"/>
      <c r="DR103" s="316"/>
      <c r="DS103" s="316"/>
      <c r="DT103" s="316"/>
      <c r="DU103" s="316"/>
      <c r="DV103" s="316"/>
      <c r="DW103" s="316"/>
      <c r="DX103" s="316"/>
      <c r="DY103" s="316"/>
      <c r="DZ103" s="316"/>
      <c r="EA103" s="316"/>
      <c r="EB103" s="316"/>
      <c r="EC103" s="316"/>
      <c r="ED103" s="316"/>
      <c r="EE103" s="316"/>
      <c r="EF103" s="316"/>
      <c r="EG103" s="316"/>
      <c r="EH103" s="316"/>
      <c r="EI103" s="316"/>
      <c r="EJ103" s="316"/>
      <c r="EK103" s="316"/>
      <c r="EL103" s="316"/>
      <c r="EM103" s="316"/>
      <c r="EN103" s="316"/>
      <c r="EO103" s="316"/>
      <c r="EP103" s="316"/>
      <c r="EQ103" s="316"/>
      <c r="ER103" s="316"/>
      <c r="ES103" s="316"/>
      <c r="ET103" s="316"/>
      <c r="EU103" s="316"/>
      <c r="EV103" s="316"/>
      <c r="EW103" s="316"/>
      <c r="EX103" s="316"/>
      <c r="EY103" s="316"/>
      <c r="EZ103" s="316"/>
      <c r="FA103" s="316"/>
      <c r="FB103" s="316"/>
      <c r="FC103" s="316"/>
      <c r="FD103" s="316"/>
      <c r="FE103" s="316"/>
      <c r="FF103" s="316"/>
      <c r="FG103" s="316"/>
      <c r="FH103" s="316"/>
      <c r="FI103" s="316"/>
      <c r="FJ103" s="316"/>
      <c r="FK103" s="316"/>
      <c r="FL103" s="316"/>
      <c r="FM103" s="316"/>
    </row>
    <row r="104" spans="1:169" ht="24.75" customHeight="1">
      <c r="A104" s="320" t="s">
        <v>2068</v>
      </c>
      <c r="B104" s="317" t="s">
        <v>2069</v>
      </c>
      <c r="C104" s="312" t="s">
        <v>2070</v>
      </c>
      <c r="D104" s="313">
        <v>94.73</v>
      </c>
      <c r="E104" s="313">
        <v>100.508</v>
      </c>
      <c r="F104" s="313">
        <v>79141.31</v>
      </c>
      <c r="G104" s="313">
        <v>107307.5</v>
      </c>
      <c r="H104" s="313">
        <v>0</v>
      </c>
      <c r="I104" s="313">
        <v>118.48</v>
      </c>
      <c r="J104" s="313">
        <v>213.99</v>
      </c>
      <c r="K104" s="313">
        <v>309.72000000000003</v>
      </c>
      <c r="L104" s="313">
        <v>942.01</v>
      </c>
      <c r="M104" s="313">
        <v>4237.66</v>
      </c>
      <c r="N104" s="313">
        <f t="shared" si="8"/>
        <v>5821.86</v>
      </c>
      <c r="O104" s="313">
        <v>79141.31</v>
      </c>
      <c r="P104" s="313">
        <v>0</v>
      </c>
      <c r="Q104" s="313">
        <v>5164.34</v>
      </c>
      <c r="R104" s="313">
        <v>0</v>
      </c>
      <c r="S104" s="313">
        <v>19.559999999999999</v>
      </c>
      <c r="T104" s="313">
        <v>19.559999999999999</v>
      </c>
      <c r="U104" s="313">
        <v>1797</v>
      </c>
      <c r="V104" s="313">
        <v>51725.62</v>
      </c>
      <c r="W104" s="313">
        <v>51745.18</v>
      </c>
      <c r="X104" s="315">
        <v>43243.49</v>
      </c>
    </row>
    <row r="105" spans="1:169" ht="24.75" customHeight="1">
      <c r="A105" s="320" t="s">
        <v>2071</v>
      </c>
      <c r="B105" s="317" t="s">
        <v>2072</v>
      </c>
      <c r="C105" s="312" t="s">
        <v>2073</v>
      </c>
      <c r="D105" s="313">
        <v>56.870999999999995</v>
      </c>
      <c r="E105" s="313">
        <v>61.54</v>
      </c>
      <c r="F105" s="313">
        <v>73682</v>
      </c>
      <c r="G105" s="313">
        <v>98561</v>
      </c>
      <c r="H105" s="313">
        <v>0</v>
      </c>
      <c r="I105" s="313">
        <v>18</v>
      </c>
      <c r="J105" s="313">
        <v>355</v>
      </c>
      <c r="K105" s="313">
        <v>0</v>
      </c>
      <c r="L105" s="313">
        <v>1</v>
      </c>
      <c r="M105" s="313">
        <v>346</v>
      </c>
      <c r="N105" s="313">
        <f t="shared" si="8"/>
        <v>720</v>
      </c>
      <c r="O105" s="313">
        <v>73682</v>
      </c>
      <c r="P105" s="313">
        <v>0</v>
      </c>
      <c r="Q105" s="313">
        <v>3959</v>
      </c>
      <c r="R105" s="313">
        <v>0</v>
      </c>
      <c r="S105" s="319">
        <v>22</v>
      </c>
      <c r="T105" s="319">
        <v>22</v>
      </c>
      <c r="U105" s="313">
        <v>607</v>
      </c>
      <c r="V105" s="313">
        <v>30197</v>
      </c>
      <c r="W105" s="313">
        <v>30219</v>
      </c>
      <c r="X105" s="315">
        <v>26222</v>
      </c>
    </row>
    <row r="106" spans="1:169" ht="24.75" customHeight="1">
      <c r="A106" s="320" t="s">
        <v>2074</v>
      </c>
      <c r="B106" s="317" t="s">
        <v>2075</v>
      </c>
      <c r="C106" s="312" t="s">
        <v>2076</v>
      </c>
      <c r="D106" s="313">
        <v>42.2</v>
      </c>
      <c r="E106" s="313">
        <v>48</v>
      </c>
      <c r="F106" s="313">
        <v>44902.17</v>
      </c>
      <c r="G106" s="313">
        <v>57175.12</v>
      </c>
      <c r="H106" s="313">
        <v>0</v>
      </c>
      <c r="I106" s="313">
        <v>2.02</v>
      </c>
      <c r="J106" s="313">
        <v>74.63</v>
      </c>
      <c r="K106" s="313">
        <v>8.49</v>
      </c>
      <c r="L106" s="313">
        <v>0</v>
      </c>
      <c r="M106" s="313">
        <v>3081.98</v>
      </c>
      <c r="N106" s="313">
        <f t="shared" si="8"/>
        <v>3167.12</v>
      </c>
      <c r="O106" s="313">
        <v>44902.17</v>
      </c>
      <c r="P106" s="313">
        <v>0</v>
      </c>
      <c r="Q106" s="313">
        <v>1428.27</v>
      </c>
      <c r="R106" s="313">
        <v>0</v>
      </c>
      <c r="S106" s="313">
        <v>0.15</v>
      </c>
      <c r="T106" s="313">
        <v>0.15</v>
      </c>
      <c r="U106" s="313">
        <v>374.31</v>
      </c>
      <c r="V106" s="313">
        <v>21676.59</v>
      </c>
      <c r="W106" s="313">
        <v>21676.74</v>
      </c>
      <c r="X106" s="315">
        <v>19512.71</v>
      </c>
    </row>
    <row r="107" spans="1:169" ht="24.75" customHeight="1">
      <c r="A107" s="320" t="s">
        <v>2077</v>
      </c>
      <c r="B107" s="317" t="s">
        <v>2078</v>
      </c>
      <c r="C107" s="312" t="s">
        <v>2079</v>
      </c>
      <c r="D107" s="313">
        <v>26.92</v>
      </c>
      <c r="E107" s="313">
        <v>26.937999999999999</v>
      </c>
      <c r="F107" s="313">
        <v>49764.17</v>
      </c>
      <c r="G107" s="313">
        <v>55189.05</v>
      </c>
      <c r="H107" s="313">
        <v>0</v>
      </c>
      <c r="I107" s="313">
        <v>220.82</v>
      </c>
      <c r="J107" s="313">
        <v>446.07</v>
      </c>
      <c r="K107" s="313">
        <v>17.350000000000001</v>
      </c>
      <c r="L107" s="313">
        <v>905.68</v>
      </c>
      <c r="M107" s="313">
        <v>1159.94</v>
      </c>
      <c r="N107" s="313">
        <f t="shared" si="8"/>
        <v>2749.86</v>
      </c>
      <c r="O107" s="313">
        <v>49764.17</v>
      </c>
      <c r="P107" s="313">
        <v>0</v>
      </c>
      <c r="Q107" s="313">
        <v>1204.4000000000001</v>
      </c>
      <c r="R107" s="313">
        <v>0</v>
      </c>
      <c r="S107" s="313">
        <v>39.54</v>
      </c>
      <c r="T107" s="313">
        <v>39.54</v>
      </c>
      <c r="U107" s="313">
        <v>951.32</v>
      </c>
      <c r="V107" s="313">
        <v>15980.23</v>
      </c>
      <c r="W107" s="313">
        <v>16019.77</v>
      </c>
      <c r="X107" s="315">
        <v>14290.46</v>
      </c>
    </row>
    <row r="108" spans="1:169" ht="24.75" customHeight="1">
      <c r="A108" s="320" t="s">
        <v>2080</v>
      </c>
      <c r="B108" s="317" t="s">
        <v>2081</v>
      </c>
      <c r="C108" s="312" t="s">
        <v>2082</v>
      </c>
      <c r="D108" s="313">
        <v>27.74</v>
      </c>
      <c r="E108" s="313">
        <v>31.02</v>
      </c>
      <c r="F108" s="313">
        <v>26949.02</v>
      </c>
      <c r="G108" s="313">
        <v>42360.44</v>
      </c>
      <c r="H108" s="313">
        <v>0</v>
      </c>
      <c r="I108" s="313">
        <v>19.8</v>
      </c>
      <c r="J108" s="313">
        <v>101.72</v>
      </c>
      <c r="K108" s="313">
        <v>191.15</v>
      </c>
      <c r="L108" s="313">
        <v>0</v>
      </c>
      <c r="M108" s="313">
        <v>1221.5899999999999</v>
      </c>
      <c r="N108" s="313">
        <f t="shared" si="8"/>
        <v>1534.26</v>
      </c>
      <c r="O108" s="313">
        <v>26949.02</v>
      </c>
      <c r="P108" s="313">
        <v>0</v>
      </c>
      <c r="Q108" s="313">
        <v>1446.52</v>
      </c>
      <c r="R108" s="313">
        <v>0</v>
      </c>
      <c r="S108" s="313">
        <v>92.21</v>
      </c>
      <c r="T108" s="313">
        <v>63.37</v>
      </c>
      <c r="U108" s="313">
        <v>409.24</v>
      </c>
      <c r="V108" s="313">
        <v>17198.150000000001</v>
      </c>
      <c r="W108" s="313">
        <v>17290.36</v>
      </c>
      <c r="X108" s="315">
        <v>13276.28</v>
      </c>
    </row>
    <row r="109" spans="1:169" ht="24.75" customHeight="1">
      <c r="A109" s="1061" t="s">
        <v>2083</v>
      </c>
      <c r="B109" s="1062"/>
      <c r="C109" s="1062"/>
      <c r="D109" s="1062"/>
      <c r="E109" s="1062"/>
      <c r="F109" s="1062"/>
      <c r="G109" s="1062"/>
      <c r="H109" s="1062"/>
      <c r="I109" s="1062"/>
      <c r="J109" s="1062"/>
      <c r="K109" s="1062"/>
      <c r="L109" s="1062"/>
      <c r="M109" s="1062"/>
      <c r="N109" s="1062"/>
      <c r="O109" s="1062"/>
      <c r="P109" s="1062"/>
      <c r="Q109" s="1062"/>
      <c r="R109" s="1062"/>
      <c r="S109" s="1062"/>
      <c r="T109" s="1062"/>
      <c r="U109" s="1062"/>
      <c r="V109" s="1062"/>
      <c r="W109" s="1062"/>
      <c r="X109" s="1063"/>
    </row>
    <row r="110" spans="1:169" ht="33.75" customHeight="1">
      <c r="A110" s="334" t="s">
        <v>2084</v>
      </c>
      <c r="B110" s="335">
        <v>49207300</v>
      </c>
      <c r="C110" s="336" t="s">
        <v>2085</v>
      </c>
      <c r="D110" s="337">
        <v>85.504999999999995</v>
      </c>
      <c r="E110" s="337">
        <v>87</v>
      </c>
      <c r="F110" s="337">
        <v>98739.759000000005</v>
      </c>
      <c r="G110" s="337">
        <v>108287.27899999999</v>
      </c>
      <c r="H110" s="337">
        <v>0</v>
      </c>
      <c r="I110" s="337">
        <v>237.869</v>
      </c>
      <c r="J110" s="337">
        <v>207.32300000000001</v>
      </c>
      <c r="K110" s="337">
        <v>623.59</v>
      </c>
      <c r="L110" s="337">
        <v>899.98199999999997</v>
      </c>
      <c r="M110" s="337">
        <v>5180.2209999999995</v>
      </c>
      <c r="N110" s="337">
        <v>7148.9859999999999</v>
      </c>
      <c r="O110" s="337">
        <v>98739.759000000005</v>
      </c>
      <c r="P110" s="337">
        <v>0</v>
      </c>
      <c r="Q110" s="337">
        <v>12522.05</v>
      </c>
      <c r="R110" s="337">
        <v>0</v>
      </c>
      <c r="S110" s="338">
        <v>214.57499999999999</v>
      </c>
      <c r="T110" s="338">
        <v>214.57499999999999</v>
      </c>
      <c r="U110" s="337">
        <v>2067.77</v>
      </c>
      <c r="V110" s="337">
        <v>41463.690999999999</v>
      </c>
      <c r="W110" s="337">
        <v>41678.267</v>
      </c>
      <c r="X110" s="339">
        <v>12265</v>
      </c>
    </row>
    <row r="111" spans="1:169" ht="24.75" customHeight="1">
      <c r="A111" s="334" t="s">
        <v>2086</v>
      </c>
      <c r="B111" s="340">
        <v>75007754</v>
      </c>
      <c r="C111" s="336" t="s">
        <v>2087</v>
      </c>
      <c r="D111" s="338">
        <v>108.44</v>
      </c>
      <c r="E111" s="338">
        <v>109</v>
      </c>
      <c r="F111" s="337">
        <v>166627.82699999999</v>
      </c>
      <c r="G111" s="337">
        <v>245660.38500000001</v>
      </c>
      <c r="H111" s="337">
        <v>0</v>
      </c>
      <c r="I111" s="337">
        <v>0</v>
      </c>
      <c r="J111" s="337">
        <v>239.79400000000001</v>
      </c>
      <c r="K111" s="337">
        <v>1205.614</v>
      </c>
      <c r="L111" s="337">
        <v>0</v>
      </c>
      <c r="M111" s="337">
        <v>21988.098000000002</v>
      </c>
      <c r="N111" s="337">
        <v>23433.508000000002</v>
      </c>
      <c r="O111" s="337">
        <v>166627.82699999999</v>
      </c>
      <c r="P111" s="337">
        <v>0</v>
      </c>
      <c r="Q111" s="337">
        <v>15994.941000000001</v>
      </c>
      <c r="R111" s="337">
        <v>0</v>
      </c>
      <c r="S111" s="337">
        <v>161.24799999999999</v>
      </c>
      <c r="T111" s="337">
        <v>161.24799999999999</v>
      </c>
      <c r="U111" s="337">
        <v>4893.5479999999998</v>
      </c>
      <c r="V111" s="337">
        <v>55785.514999999999</v>
      </c>
      <c r="W111" s="337">
        <v>55946.762999999999</v>
      </c>
      <c r="X111" s="339">
        <v>23512.552</v>
      </c>
    </row>
    <row r="112" spans="1:169" ht="33.75" customHeight="1">
      <c r="A112" s="334" t="s">
        <v>2088</v>
      </c>
      <c r="B112" s="341" t="s">
        <v>2089</v>
      </c>
      <c r="C112" s="336" t="s">
        <v>2090</v>
      </c>
      <c r="D112" s="338">
        <v>97.44</v>
      </c>
      <c r="E112" s="338">
        <v>99</v>
      </c>
      <c r="F112" s="337">
        <v>97779</v>
      </c>
      <c r="G112" s="337">
        <v>120708</v>
      </c>
      <c r="H112" s="337">
        <v>0</v>
      </c>
      <c r="I112" s="337">
        <v>559</v>
      </c>
      <c r="J112" s="337">
        <v>88</v>
      </c>
      <c r="K112" s="337">
        <v>823</v>
      </c>
      <c r="L112" s="337">
        <v>27</v>
      </c>
      <c r="M112" s="337">
        <v>160</v>
      </c>
      <c r="N112" s="337">
        <v>1657</v>
      </c>
      <c r="O112" s="337">
        <v>97779</v>
      </c>
      <c r="P112" s="337">
        <v>0</v>
      </c>
      <c r="Q112" s="337">
        <v>5067</v>
      </c>
      <c r="R112" s="337">
        <v>0</v>
      </c>
      <c r="S112" s="337">
        <v>11</v>
      </c>
      <c r="T112" s="337">
        <v>423</v>
      </c>
      <c r="U112" s="337">
        <v>1836</v>
      </c>
      <c r="V112" s="337">
        <v>45980</v>
      </c>
      <c r="W112" s="337">
        <v>45991</v>
      </c>
      <c r="X112" s="339">
        <v>15959</v>
      </c>
    </row>
    <row r="113" spans="1:24" ht="24.75" customHeight="1">
      <c r="A113" s="334" t="s">
        <v>2091</v>
      </c>
      <c r="B113" s="340">
        <v>75007746</v>
      </c>
      <c r="C113" s="336" t="s">
        <v>2092</v>
      </c>
      <c r="D113" s="338">
        <v>70</v>
      </c>
      <c r="E113" s="338">
        <v>70</v>
      </c>
      <c r="F113" s="337">
        <v>147100.22</v>
      </c>
      <c r="G113" s="337">
        <v>164803.69</v>
      </c>
      <c r="H113" s="337">
        <v>0</v>
      </c>
      <c r="I113" s="337">
        <v>97.1</v>
      </c>
      <c r="J113" s="337">
        <v>169.29</v>
      </c>
      <c r="K113" s="337">
        <v>132.52000000000001</v>
      </c>
      <c r="L113" s="337">
        <v>14.52</v>
      </c>
      <c r="M113" s="337">
        <v>2236.23</v>
      </c>
      <c r="N113" s="337">
        <v>2649.66</v>
      </c>
      <c r="O113" s="337">
        <v>147100.22</v>
      </c>
      <c r="P113" s="337">
        <v>0</v>
      </c>
      <c r="Q113" s="337">
        <v>5948.29</v>
      </c>
      <c r="R113" s="337">
        <v>0</v>
      </c>
      <c r="S113" s="337">
        <v>62.15</v>
      </c>
      <c r="T113" s="337">
        <v>62.15</v>
      </c>
      <c r="U113" s="337">
        <v>1074.03</v>
      </c>
      <c r="V113" s="337">
        <v>33521.83</v>
      </c>
      <c r="W113" s="337">
        <v>33583.980000000003</v>
      </c>
      <c r="X113" s="339">
        <v>10145.51</v>
      </c>
    </row>
    <row r="114" spans="1:24" ht="24.75" customHeight="1">
      <c r="A114" s="334" t="s">
        <v>2093</v>
      </c>
      <c r="B114" s="340">
        <v>49748190</v>
      </c>
      <c r="C114" s="336" t="s">
        <v>2094</v>
      </c>
      <c r="D114" s="338">
        <v>58.2</v>
      </c>
      <c r="E114" s="338">
        <v>62</v>
      </c>
      <c r="F114" s="337">
        <v>40425</v>
      </c>
      <c r="G114" s="337">
        <v>62005</v>
      </c>
      <c r="H114" s="337">
        <v>0</v>
      </c>
      <c r="I114" s="337">
        <v>61</v>
      </c>
      <c r="J114" s="337">
        <v>333</v>
      </c>
      <c r="K114" s="337">
        <v>232</v>
      </c>
      <c r="L114" s="337">
        <v>14</v>
      </c>
      <c r="M114" s="337">
        <v>5676</v>
      </c>
      <c r="N114" s="337">
        <v>6316</v>
      </c>
      <c r="O114" s="337">
        <v>40425</v>
      </c>
      <c r="P114" s="337">
        <v>0</v>
      </c>
      <c r="Q114" s="337">
        <v>3291</v>
      </c>
      <c r="R114" s="337">
        <v>0</v>
      </c>
      <c r="S114" s="337">
        <v>27</v>
      </c>
      <c r="T114" s="337">
        <v>9</v>
      </c>
      <c r="U114" s="337">
        <v>2270</v>
      </c>
      <c r="V114" s="337">
        <v>28035</v>
      </c>
      <c r="W114" s="337">
        <v>28062</v>
      </c>
      <c r="X114" s="339">
        <v>11216</v>
      </c>
    </row>
    <row r="115" spans="1:24" ht="24.75" customHeight="1">
      <c r="A115" s="334" t="s">
        <v>2095</v>
      </c>
      <c r="B115" s="341" t="s">
        <v>2096</v>
      </c>
      <c r="C115" s="336" t="s">
        <v>2097</v>
      </c>
      <c r="D115" s="338">
        <v>76.894999999999996</v>
      </c>
      <c r="E115" s="338">
        <v>76</v>
      </c>
      <c r="F115" s="337">
        <v>53522.732000000004</v>
      </c>
      <c r="G115" s="337">
        <v>74461.467000000004</v>
      </c>
      <c r="H115" s="337">
        <v>0</v>
      </c>
      <c r="I115" s="337">
        <v>80.900000000000006</v>
      </c>
      <c r="J115" s="337">
        <v>101.99299999999999</v>
      </c>
      <c r="K115" s="337">
        <v>1010.096</v>
      </c>
      <c r="L115" s="337">
        <v>117.51300000000001</v>
      </c>
      <c r="M115" s="337">
        <v>3129.915</v>
      </c>
      <c r="N115" s="337">
        <v>4440.4170000000004</v>
      </c>
      <c r="O115" s="337">
        <v>53522.732000000004</v>
      </c>
      <c r="P115" s="337">
        <v>0</v>
      </c>
      <c r="Q115" s="337">
        <v>4649.5450000000001</v>
      </c>
      <c r="R115" s="337">
        <v>0</v>
      </c>
      <c r="S115" s="337">
        <v>7.4880000000000004</v>
      </c>
      <c r="T115" s="337">
        <v>7.4880000000000004</v>
      </c>
      <c r="U115" s="337">
        <v>1416.5340000000001</v>
      </c>
      <c r="V115" s="337">
        <v>36995.972000000002</v>
      </c>
      <c r="W115" s="337">
        <v>37003.461000000003</v>
      </c>
      <c r="X115" s="339">
        <v>13319.584000000001</v>
      </c>
    </row>
    <row r="116" spans="1:24" ht="33.75" customHeight="1">
      <c r="A116" s="334" t="s">
        <v>2098</v>
      </c>
      <c r="B116" s="340">
        <v>48329771</v>
      </c>
      <c r="C116" s="336" t="s">
        <v>2099</v>
      </c>
      <c r="D116" s="338">
        <v>45.49</v>
      </c>
      <c r="E116" s="338">
        <v>48.67</v>
      </c>
      <c r="F116" s="337">
        <v>32531</v>
      </c>
      <c r="G116" s="337">
        <v>47482</v>
      </c>
      <c r="H116" s="337">
        <v>0</v>
      </c>
      <c r="I116" s="337">
        <v>91</v>
      </c>
      <c r="J116" s="337">
        <v>162</v>
      </c>
      <c r="K116" s="337">
        <v>118</v>
      </c>
      <c r="L116" s="337">
        <v>60</v>
      </c>
      <c r="M116" s="337">
        <v>1475</v>
      </c>
      <c r="N116" s="337">
        <v>1906</v>
      </c>
      <c r="O116" s="337">
        <v>32531</v>
      </c>
      <c r="P116" s="337">
        <v>0</v>
      </c>
      <c r="Q116" s="337">
        <v>1916</v>
      </c>
      <c r="R116" s="337">
        <v>0</v>
      </c>
      <c r="S116" s="337">
        <v>3</v>
      </c>
      <c r="T116" s="337">
        <v>3</v>
      </c>
      <c r="U116" s="337">
        <v>1125</v>
      </c>
      <c r="V116" s="337">
        <v>23147</v>
      </c>
      <c r="W116" s="337">
        <v>23150</v>
      </c>
      <c r="X116" s="339">
        <v>10210</v>
      </c>
    </row>
    <row r="117" spans="1:24" ht="33.75" customHeight="1">
      <c r="A117" s="334" t="s">
        <v>2100</v>
      </c>
      <c r="B117" s="340">
        <v>48379808</v>
      </c>
      <c r="C117" s="336" t="s">
        <v>2101</v>
      </c>
      <c r="D117" s="338">
        <v>200.51</v>
      </c>
      <c r="E117" s="338">
        <v>203</v>
      </c>
      <c r="F117" s="337">
        <v>271630</v>
      </c>
      <c r="G117" s="337">
        <v>355564</v>
      </c>
      <c r="H117" s="337">
        <v>0</v>
      </c>
      <c r="I117" s="337">
        <v>1610</v>
      </c>
      <c r="J117" s="337">
        <v>254</v>
      </c>
      <c r="K117" s="337">
        <v>783</v>
      </c>
      <c r="L117" s="337">
        <v>200</v>
      </c>
      <c r="M117" s="337">
        <v>16981</v>
      </c>
      <c r="N117" s="337">
        <v>19828</v>
      </c>
      <c r="O117" s="337">
        <v>271630</v>
      </c>
      <c r="P117" s="337">
        <v>0</v>
      </c>
      <c r="Q117" s="337">
        <v>7731</v>
      </c>
      <c r="R117" s="337">
        <v>0</v>
      </c>
      <c r="S117" s="337">
        <v>-1463</v>
      </c>
      <c r="T117" s="338">
        <v>3</v>
      </c>
      <c r="U117" s="337">
        <v>6223</v>
      </c>
      <c r="V117" s="337">
        <v>97175</v>
      </c>
      <c r="W117" s="337">
        <v>95712</v>
      </c>
      <c r="X117" s="339">
        <v>37376</v>
      </c>
    </row>
    <row r="118" spans="1:24" ht="33" customHeight="1">
      <c r="A118" s="334" t="s">
        <v>2102</v>
      </c>
      <c r="B118" s="340">
        <v>48333841</v>
      </c>
      <c r="C118" s="336" t="s">
        <v>2103</v>
      </c>
      <c r="D118" s="338">
        <v>124.43600000000001</v>
      </c>
      <c r="E118" s="338">
        <v>126.248</v>
      </c>
      <c r="F118" s="337">
        <v>130530</v>
      </c>
      <c r="G118" s="337">
        <v>147253</v>
      </c>
      <c r="H118" s="337">
        <v>0</v>
      </c>
      <c r="I118" s="337">
        <v>459</v>
      </c>
      <c r="J118" s="337">
        <v>263</v>
      </c>
      <c r="K118" s="337">
        <v>2897</v>
      </c>
      <c r="L118" s="337">
        <v>465</v>
      </c>
      <c r="M118" s="337">
        <v>9737</v>
      </c>
      <c r="N118" s="337">
        <v>13821</v>
      </c>
      <c r="O118" s="337">
        <v>130530</v>
      </c>
      <c r="P118" s="337">
        <v>0</v>
      </c>
      <c r="Q118" s="337">
        <v>62311</v>
      </c>
      <c r="R118" s="337">
        <v>0</v>
      </c>
      <c r="S118" s="337">
        <v>103</v>
      </c>
      <c r="T118" s="338">
        <v>95</v>
      </c>
      <c r="U118" s="337">
        <v>2913</v>
      </c>
      <c r="V118" s="337">
        <v>56470</v>
      </c>
      <c r="W118" s="337">
        <v>56573</v>
      </c>
      <c r="X118" s="339">
        <v>16732</v>
      </c>
    </row>
    <row r="119" spans="1:24" ht="24.75" customHeight="1">
      <c r="A119" s="334" t="s">
        <v>2104</v>
      </c>
      <c r="B119" s="341" t="s">
        <v>2105</v>
      </c>
      <c r="C119" s="336" t="s">
        <v>2106</v>
      </c>
      <c r="D119" s="338">
        <v>136</v>
      </c>
      <c r="E119" s="338">
        <v>137</v>
      </c>
      <c r="F119" s="337">
        <v>140334</v>
      </c>
      <c r="G119" s="337">
        <v>126767</v>
      </c>
      <c r="H119" s="337">
        <v>0</v>
      </c>
      <c r="I119" s="337">
        <v>591</v>
      </c>
      <c r="J119" s="337">
        <v>85</v>
      </c>
      <c r="K119" s="337">
        <v>3323</v>
      </c>
      <c r="L119" s="337">
        <v>34</v>
      </c>
      <c r="M119" s="337">
        <v>3892</v>
      </c>
      <c r="N119" s="337">
        <v>7925</v>
      </c>
      <c r="O119" s="337">
        <v>140334</v>
      </c>
      <c r="P119" s="337">
        <v>0</v>
      </c>
      <c r="Q119" s="337">
        <v>4656</v>
      </c>
      <c r="R119" s="337">
        <v>0</v>
      </c>
      <c r="S119" s="337">
        <v>0</v>
      </c>
      <c r="T119" s="338">
        <v>0</v>
      </c>
      <c r="U119" s="337">
        <v>3704</v>
      </c>
      <c r="V119" s="337">
        <v>65001</v>
      </c>
      <c r="W119" s="337">
        <v>65001</v>
      </c>
      <c r="X119" s="339">
        <v>24601</v>
      </c>
    </row>
    <row r="120" spans="1:24" ht="24.75" customHeight="1">
      <c r="A120" s="334" t="s">
        <v>2107</v>
      </c>
      <c r="B120" s="340">
        <v>49180380</v>
      </c>
      <c r="C120" s="336" t="s">
        <v>2108</v>
      </c>
      <c r="D120" s="338">
        <v>21.63</v>
      </c>
      <c r="E120" s="338">
        <v>23</v>
      </c>
      <c r="F120" s="337">
        <v>45090</v>
      </c>
      <c r="G120" s="337">
        <v>59992</v>
      </c>
      <c r="H120" s="337">
        <v>0</v>
      </c>
      <c r="I120" s="337">
        <v>434</v>
      </c>
      <c r="J120" s="337">
        <v>94</v>
      </c>
      <c r="K120" s="337">
        <v>48</v>
      </c>
      <c r="L120" s="337">
        <v>1839</v>
      </c>
      <c r="M120" s="337">
        <v>4489</v>
      </c>
      <c r="N120" s="337">
        <v>6904</v>
      </c>
      <c r="O120" s="337">
        <v>45090</v>
      </c>
      <c r="P120" s="337">
        <v>0</v>
      </c>
      <c r="Q120" s="337">
        <v>715</v>
      </c>
      <c r="R120" s="337">
        <v>0</v>
      </c>
      <c r="S120" s="342">
        <v>3</v>
      </c>
      <c r="T120" s="342">
        <v>3</v>
      </c>
      <c r="U120" s="337">
        <v>795</v>
      </c>
      <c r="V120" s="337">
        <v>12153</v>
      </c>
      <c r="W120" s="337">
        <v>12156</v>
      </c>
      <c r="X120" s="339">
        <v>338</v>
      </c>
    </row>
    <row r="121" spans="1:24" ht="24.75" customHeight="1">
      <c r="A121" s="334" t="s">
        <v>2109</v>
      </c>
      <c r="B121" s="340">
        <v>49180312</v>
      </c>
      <c r="C121" s="336" t="s">
        <v>2110</v>
      </c>
      <c r="D121" s="338">
        <v>44</v>
      </c>
      <c r="E121" s="338">
        <v>45</v>
      </c>
      <c r="F121" s="337">
        <v>113396.033</v>
      </c>
      <c r="G121" s="337">
        <v>127795.617</v>
      </c>
      <c r="H121" s="337">
        <v>75.905000000000001</v>
      </c>
      <c r="I121" s="337">
        <v>492.42700000000002</v>
      </c>
      <c r="J121" s="337">
        <v>121.342</v>
      </c>
      <c r="K121" s="337">
        <v>0</v>
      </c>
      <c r="L121" s="337">
        <v>4449.777</v>
      </c>
      <c r="M121" s="337">
        <v>7990.6030000000001</v>
      </c>
      <c r="N121" s="337">
        <v>13054.15</v>
      </c>
      <c r="O121" s="337">
        <v>113396.033</v>
      </c>
      <c r="P121" s="337">
        <v>218.42</v>
      </c>
      <c r="Q121" s="337">
        <v>2320.248</v>
      </c>
      <c r="R121" s="337">
        <v>0</v>
      </c>
      <c r="S121" s="342">
        <v>83.602999999999994</v>
      </c>
      <c r="T121" s="342">
        <v>83.602999999999994</v>
      </c>
      <c r="U121" s="337">
        <v>3088.5735</v>
      </c>
      <c r="V121" s="337">
        <v>30229.409</v>
      </c>
      <c r="W121" s="337">
        <v>30313.012999999999</v>
      </c>
      <c r="X121" s="339">
        <v>15123.956</v>
      </c>
    </row>
    <row r="122" spans="1:24" ht="24.75" customHeight="1">
      <c r="A122" s="1061" t="s">
        <v>2111</v>
      </c>
      <c r="B122" s="1062"/>
      <c r="C122" s="1062"/>
      <c r="D122" s="1062"/>
      <c r="E122" s="1062"/>
      <c r="F122" s="1062"/>
      <c r="G122" s="1062"/>
      <c r="H122" s="1062"/>
      <c r="I122" s="1062"/>
      <c r="J122" s="1062"/>
      <c r="K122" s="1062"/>
      <c r="L122" s="1062"/>
      <c r="M122" s="1062"/>
      <c r="N122" s="1062"/>
      <c r="O122" s="1062"/>
      <c r="P122" s="1062"/>
      <c r="Q122" s="1062"/>
      <c r="R122" s="1062"/>
      <c r="S122" s="1062"/>
      <c r="T122" s="1062"/>
      <c r="U122" s="1062"/>
      <c r="V122" s="1062"/>
      <c r="W122" s="1062"/>
      <c r="X122" s="1063"/>
    </row>
    <row r="123" spans="1:24" ht="24.75" customHeight="1">
      <c r="A123" s="343" t="s">
        <v>2112</v>
      </c>
      <c r="B123" s="344">
        <v>45333009</v>
      </c>
      <c r="C123" s="345" t="s">
        <v>2113</v>
      </c>
      <c r="D123" s="313">
        <v>376.22</v>
      </c>
      <c r="E123" s="313">
        <v>394.94</v>
      </c>
      <c r="F123" s="313">
        <v>141721.37</v>
      </c>
      <c r="G123" s="313">
        <v>274592.75</v>
      </c>
      <c r="H123" s="313">
        <v>0</v>
      </c>
      <c r="I123" s="313">
        <v>455.31</v>
      </c>
      <c r="J123" s="313">
        <v>925.26</v>
      </c>
      <c r="K123" s="313">
        <v>0</v>
      </c>
      <c r="L123" s="313">
        <v>0</v>
      </c>
      <c r="M123" s="313">
        <v>20589.580000000002</v>
      </c>
      <c r="N123" s="313">
        <v>21970.15</v>
      </c>
      <c r="O123" s="313">
        <v>141721.37</v>
      </c>
      <c r="P123" s="313">
        <v>0</v>
      </c>
      <c r="Q123" s="313">
        <v>29966.81</v>
      </c>
      <c r="R123" s="313">
        <v>0</v>
      </c>
      <c r="S123" s="314">
        <v>11.5</v>
      </c>
      <c r="T123" s="313">
        <v>11.5</v>
      </c>
      <c r="U123" s="313">
        <v>16801.73</v>
      </c>
      <c r="V123" s="313">
        <v>339022.19</v>
      </c>
      <c r="W123" s="313">
        <v>339033.69</v>
      </c>
      <c r="X123" s="315">
        <v>236045.83</v>
      </c>
    </row>
    <row r="124" spans="1:24" ht="24.75" customHeight="1">
      <c r="A124" s="346" t="s">
        <v>2114</v>
      </c>
      <c r="B124" s="347" t="s">
        <v>2115</v>
      </c>
      <c r="C124" s="345" t="s">
        <v>2116</v>
      </c>
      <c r="D124" s="313">
        <v>29.26</v>
      </c>
      <c r="E124" s="313">
        <v>30.13</v>
      </c>
      <c r="F124" s="313">
        <v>23307.45</v>
      </c>
      <c r="G124" s="313">
        <v>26575.9</v>
      </c>
      <c r="H124" s="313">
        <v>0</v>
      </c>
      <c r="I124" s="313">
        <v>862.25</v>
      </c>
      <c r="J124" s="313">
        <v>67.7</v>
      </c>
      <c r="K124" s="313">
        <v>4386.53</v>
      </c>
      <c r="L124" s="313">
        <v>1424.52</v>
      </c>
      <c r="M124" s="313">
        <v>791.39</v>
      </c>
      <c r="N124" s="313">
        <v>7532.38</v>
      </c>
      <c r="O124" s="313">
        <v>23307.45</v>
      </c>
      <c r="P124" s="313">
        <v>0</v>
      </c>
      <c r="Q124" s="313">
        <v>966.68</v>
      </c>
      <c r="R124" s="313">
        <v>0</v>
      </c>
      <c r="S124" s="314">
        <v>152.93</v>
      </c>
      <c r="T124" s="313">
        <v>152.93</v>
      </c>
      <c r="U124" s="313">
        <v>1555.09</v>
      </c>
      <c r="V124" s="313">
        <v>17811.990000000002</v>
      </c>
      <c r="W124" s="313">
        <v>17964.91</v>
      </c>
      <c r="X124" s="315">
        <v>16990.18</v>
      </c>
    </row>
    <row r="125" spans="1:24" ht="24.75" customHeight="1">
      <c r="A125" s="346" t="s">
        <v>2117</v>
      </c>
      <c r="B125" s="347" t="s">
        <v>2118</v>
      </c>
      <c r="C125" s="345" t="s">
        <v>2119</v>
      </c>
      <c r="D125" s="313">
        <v>0.57999999999999996</v>
      </c>
      <c r="E125" s="313">
        <v>2</v>
      </c>
      <c r="F125" s="313">
        <v>2246.8000000000002</v>
      </c>
      <c r="G125" s="313">
        <v>0</v>
      </c>
      <c r="H125" s="313">
        <v>0</v>
      </c>
      <c r="I125" s="313">
        <v>307</v>
      </c>
      <c r="J125" s="313">
        <v>2899.96</v>
      </c>
      <c r="K125" s="313">
        <v>0</v>
      </c>
      <c r="L125" s="313">
        <v>0</v>
      </c>
      <c r="M125" s="313">
        <v>55466.45</v>
      </c>
      <c r="N125" s="313">
        <v>58738.95</v>
      </c>
      <c r="O125" s="313">
        <v>2246.8000000000002</v>
      </c>
      <c r="P125" s="313">
        <v>0</v>
      </c>
      <c r="Q125" s="313">
        <v>477.78</v>
      </c>
      <c r="R125" s="313">
        <v>0</v>
      </c>
      <c r="S125" s="313">
        <v>-389.26</v>
      </c>
      <c r="T125" s="313">
        <v>-389.26</v>
      </c>
      <c r="U125" s="313">
        <v>0</v>
      </c>
      <c r="V125" s="313">
        <v>1136.21</v>
      </c>
      <c r="W125" s="313">
        <v>746.95</v>
      </c>
      <c r="X125" s="315">
        <v>739</v>
      </c>
    </row>
    <row r="126" spans="1:24" ht="24.75" customHeight="1">
      <c r="A126" s="346" t="s">
        <v>2120</v>
      </c>
      <c r="B126" s="347" t="s">
        <v>2121</v>
      </c>
      <c r="C126" s="345" t="s">
        <v>2122</v>
      </c>
      <c r="D126" s="313">
        <v>0.1</v>
      </c>
      <c r="E126" s="313">
        <v>1</v>
      </c>
      <c r="F126" s="313">
        <v>95023.29</v>
      </c>
      <c r="G126" s="313">
        <v>202592.09</v>
      </c>
      <c r="H126" s="313">
        <v>0</v>
      </c>
      <c r="I126" s="313">
        <v>0</v>
      </c>
      <c r="J126" s="313">
        <v>1232.03</v>
      </c>
      <c r="K126" s="313">
        <v>0</v>
      </c>
      <c r="L126" s="313">
        <v>0</v>
      </c>
      <c r="M126" s="313">
        <v>0</v>
      </c>
      <c r="N126" s="313">
        <v>5305.37</v>
      </c>
      <c r="O126" s="313">
        <v>95023.29</v>
      </c>
      <c r="P126" s="313">
        <v>0</v>
      </c>
      <c r="Q126" s="313">
        <v>28.53</v>
      </c>
      <c r="R126" s="313">
        <v>0</v>
      </c>
      <c r="S126" s="313">
        <v>34.35</v>
      </c>
      <c r="T126" s="313">
        <v>34.35</v>
      </c>
      <c r="U126" s="313">
        <v>0</v>
      </c>
      <c r="V126" s="313">
        <v>956.01</v>
      </c>
      <c r="W126" s="313">
        <v>990.36</v>
      </c>
      <c r="X126" s="315">
        <v>390</v>
      </c>
    </row>
    <row r="127" spans="1:24" ht="24.75" customHeight="1">
      <c r="A127" s="1061" t="s">
        <v>2123</v>
      </c>
      <c r="B127" s="1062"/>
      <c r="C127" s="1062"/>
      <c r="D127" s="1062"/>
      <c r="E127" s="1062"/>
      <c r="F127" s="1062"/>
      <c r="G127" s="1062"/>
      <c r="H127" s="1062"/>
      <c r="I127" s="1062"/>
      <c r="J127" s="1062"/>
      <c r="K127" s="1062"/>
      <c r="L127" s="1062"/>
      <c r="M127" s="1062"/>
      <c r="N127" s="1062"/>
      <c r="O127" s="1062"/>
      <c r="P127" s="1062"/>
      <c r="Q127" s="1062"/>
      <c r="R127" s="1062"/>
      <c r="S127" s="1062"/>
      <c r="T127" s="1062"/>
      <c r="U127" s="1062"/>
      <c r="V127" s="1062"/>
      <c r="W127" s="1062"/>
      <c r="X127" s="1063"/>
    </row>
    <row r="128" spans="1:24" ht="24.75" customHeight="1">
      <c r="A128" s="348" t="s">
        <v>2124</v>
      </c>
      <c r="B128" s="341" t="s">
        <v>2125</v>
      </c>
      <c r="C128" s="349" t="s">
        <v>2126</v>
      </c>
      <c r="D128" s="350">
        <v>19</v>
      </c>
      <c r="E128" s="350">
        <v>19</v>
      </c>
      <c r="F128" s="350">
        <v>70910.880000000005</v>
      </c>
      <c r="G128" s="350">
        <v>75635.59</v>
      </c>
      <c r="H128" s="350">
        <v>0</v>
      </c>
      <c r="I128" s="350">
        <v>194.43</v>
      </c>
      <c r="J128" s="350">
        <v>132.5</v>
      </c>
      <c r="K128" s="350">
        <v>978.87</v>
      </c>
      <c r="L128" s="350">
        <v>0</v>
      </c>
      <c r="M128" s="350">
        <v>5154.03</v>
      </c>
      <c r="N128" s="350">
        <v>6459.84</v>
      </c>
      <c r="O128" s="350">
        <v>70910.880000000005</v>
      </c>
      <c r="P128" s="350">
        <v>0</v>
      </c>
      <c r="Q128" s="350">
        <v>2263.2399999999998</v>
      </c>
      <c r="R128" s="350">
        <v>0</v>
      </c>
      <c r="S128" s="351">
        <v>94.02</v>
      </c>
      <c r="T128" s="350">
        <v>94.02</v>
      </c>
      <c r="U128" s="350">
        <v>1382.99</v>
      </c>
      <c r="V128" s="350">
        <v>20214.580000000002</v>
      </c>
      <c r="W128" s="350">
        <v>20308.599999999999</v>
      </c>
      <c r="X128" s="352">
        <v>17729.18</v>
      </c>
    </row>
    <row r="129" spans="1:24" ht="24.75" customHeight="1">
      <c r="A129" s="348" t="s">
        <v>2127</v>
      </c>
      <c r="B129" s="341" t="s">
        <v>2128</v>
      </c>
      <c r="C129" s="349" t="s">
        <v>2129</v>
      </c>
      <c r="D129" s="350">
        <v>2.81</v>
      </c>
      <c r="E129" s="350">
        <v>6</v>
      </c>
      <c r="F129" s="350">
        <v>5858.41</v>
      </c>
      <c r="G129" s="350">
        <v>8965.83</v>
      </c>
      <c r="H129" s="350">
        <v>0</v>
      </c>
      <c r="I129" s="350">
        <v>51.1</v>
      </c>
      <c r="J129" s="350">
        <v>35.26</v>
      </c>
      <c r="K129" s="350">
        <v>472.73</v>
      </c>
      <c r="L129" s="350">
        <v>0</v>
      </c>
      <c r="M129" s="350">
        <v>768.5</v>
      </c>
      <c r="N129" s="350">
        <v>1327.6</v>
      </c>
      <c r="O129" s="350">
        <v>5858.41</v>
      </c>
      <c r="P129" s="350">
        <v>0</v>
      </c>
      <c r="Q129" s="350">
        <v>151.11000000000001</v>
      </c>
      <c r="R129" s="350">
        <v>0</v>
      </c>
      <c r="S129" s="350">
        <v>166.79</v>
      </c>
      <c r="T129" s="350">
        <v>166.79</v>
      </c>
      <c r="U129" s="350">
        <v>112.46</v>
      </c>
      <c r="V129" s="350">
        <v>2578.2199999999998</v>
      </c>
      <c r="W129" s="350">
        <v>2745.01</v>
      </c>
      <c r="X129" s="352">
        <v>2354</v>
      </c>
    </row>
    <row r="130" spans="1:24" ht="24.75" customHeight="1">
      <c r="A130" s="353" t="s">
        <v>2130</v>
      </c>
      <c r="B130" s="341" t="s">
        <v>1273</v>
      </c>
      <c r="C130" s="349" t="s">
        <v>2131</v>
      </c>
      <c r="D130" s="350">
        <v>12.2</v>
      </c>
      <c r="E130" s="350">
        <v>14</v>
      </c>
      <c r="F130" s="350">
        <v>94697</v>
      </c>
      <c r="G130" s="350">
        <v>96451</v>
      </c>
      <c r="H130" s="350">
        <v>0</v>
      </c>
      <c r="I130" s="350">
        <v>101</v>
      </c>
      <c r="J130" s="350">
        <v>42</v>
      </c>
      <c r="K130" s="350">
        <v>85</v>
      </c>
      <c r="L130" s="350">
        <v>0</v>
      </c>
      <c r="M130" s="350">
        <v>4016</v>
      </c>
      <c r="N130" s="350">
        <v>4244</v>
      </c>
      <c r="O130" s="350">
        <v>94697</v>
      </c>
      <c r="P130" s="350">
        <v>0</v>
      </c>
      <c r="Q130" s="350">
        <v>1165</v>
      </c>
      <c r="R130" s="350">
        <v>0</v>
      </c>
      <c r="S130" s="350">
        <v>58</v>
      </c>
      <c r="T130" s="350">
        <v>58</v>
      </c>
      <c r="U130" s="350">
        <v>1388</v>
      </c>
      <c r="V130" s="350">
        <v>10945</v>
      </c>
      <c r="W130" s="350">
        <v>11003</v>
      </c>
      <c r="X130" s="352">
        <v>8579</v>
      </c>
    </row>
    <row r="131" spans="1:24" ht="24.75" customHeight="1">
      <c r="A131" s="348" t="s">
        <v>2132</v>
      </c>
      <c r="B131" s="341" t="s">
        <v>2133</v>
      </c>
      <c r="C131" s="349" t="s">
        <v>2134</v>
      </c>
      <c r="D131" s="350">
        <v>10.199999999999999</v>
      </c>
      <c r="E131" s="350">
        <v>12</v>
      </c>
      <c r="F131" s="350">
        <v>21171</v>
      </c>
      <c r="G131" s="350">
        <v>21677</v>
      </c>
      <c r="H131" s="350">
        <v>0</v>
      </c>
      <c r="I131" s="350">
        <v>42</v>
      </c>
      <c r="J131" s="350">
        <v>64</v>
      </c>
      <c r="K131" s="350">
        <v>136</v>
      </c>
      <c r="L131" s="350">
        <v>0</v>
      </c>
      <c r="M131" s="350">
        <v>448</v>
      </c>
      <c r="N131" s="350">
        <v>690</v>
      </c>
      <c r="O131" s="350">
        <v>21171</v>
      </c>
      <c r="P131" s="350">
        <v>0</v>
      </c>
      <c r="Q131" s="350">
        <v>632</v>
      </c>
      <c r="R131" s="350">
        <v>0</v>
      </c>
      <c r="S131" s="350">
        <v>9</v>
      </c>
      <c r="T131" s="350">
        <v>9</v>
      </c>
      <c r="U131" s="350">
        <v>70</v>
      </c>
      <c r="V131" s="350">
        <v>4465</v>
      </c>
      <c r="W131" s="350">
        <v>4474</v>
      </c>
      <c r="X131" s="352">
        <v>4370</v>
      </c>
    </row>
    <row r="132" spans="1:24" ht="24.75" customHeight="1">
      <c r="A132" s="348" t="s">
        <v>2135</v>
      </c>
      <c r="B132" s="341" t="s">
        <v>2136</v>
      </c>
      <c r="C132" s="349" t="s">
        <v>2137</v>
      </c>
      <c r="D132" s="350">
        <v>16.489999999999998</v>
      </c>
      <c r="E132" s="350">
        <v>18</v>
      </c>
      <c r="F132" s="350">
        <v>25082.94</v>
      </c>
      <c r="G132" s="350">
        <v>36894.99</v>
      </c>
      <c r="H132" s="350">
        <v>0</v>
      </c>
      <c r="I132" s="350">
        <v>191.14</v>
      </c>
      <c r="J132" s="350">
        <v>33.11</v>
      </c>
      <c r="K132" s="350">
        <v>1602.12</v>
      </c>
      <c r="L132" s="350">
        <v>0</v>
      </c>
      <c r="M132" s="350">
        <v>1008.45</v>
      </c>
      <c r="N132" s="350">
        <v>2834.84</v>
      </c>
      <c r="O132" s="350">
        <v>25082.94</v>
      </c>
      <c r="P132" s="350">
        <v>0</v>
      </c>
      <c r="Q132" s="350">
        <v>739.94</v>
      </c>
      <c r="R132" s="350">
        <v>0</v>
      </c>
      <c r="S132" s="350">
        <v>11.93</v>
      </c>
      <c r="T132" s="350">
        <v>11.93</v>
      </c>
      <c r="U132" s="350">
        <v>462.84</v>
      </c>
      <c r="V132" s="350">
        <v>8723.73</v>
      </c>
      <c r="W132" s="350">
        <v>8735.66</v>
      </c>
      <c r="X132" s="352">
        <v>8231</v>
      </c>
    </row>
    <row r="133" spans="1:24" ht="24.75" customHeight="1">
      <c r="A133" s="348" t="s">
        <v>2138</v>
      </c>
      <c r="B133" s="341" t="s">
        <v>2139</v>
      </c>
      <c r="C133" s="349" t="s">
        <v>2140</v>
      </c>
      <c r="D133" s="350">
        <v>13.8</v>
      </c>
      <c r="E133" s="350">
        <v>16</v>
      </c>
      <c r="F133" s="350">
        <v>15114</v>
      </c>
      <c r="G133" s="350">
        <v>11371</v>
      </c>
      <c r="H133" s="350">
        <v>0</v>
      </c>
      <c r="I133" s="350">
        <v>324</v>
      </c>
      <c r="J133" s="350">
        <v>135</v>
      </c>
      <c r="K133" s="350">
        <v>0</v>
      </c>
      <c r="L133" s="350">
        <v>1737</v>
      </c>
      <c r="M133" s="350">
        <v>4797</v>
      </c>
      <c r="N133" s="350">
        <v>6993</v>
      </c>
      <c r="O133" s="350">
        <v>15114</v>
      </c>
      <c r="P133" s="350">
        <v>0</v>
      </c>
      <c r="Q133" s="350">
        <v>727</v>
      </c>
      <c r="R133" s="350">
        <v>0</v>
      </c>
      <c r="S133" s="350">
        <v>415.04</v>
      </c>
      <c r="T133" s="350">
        <v>415.04</v>
      </c>
      <c r="U133" s="350">
        <v>113</v>
      </c>
      <c r="V133" s="350">
        <v>8364</v>
      </c>
      <c r="W133" s="350">
        <v>8779</v>
      </c>
      <c r="X133" s="352">
        <v>7923</v>
      </c>
    </row>
    <row r="134" spans="1:24" ht="24.75" customHeight="1">
      <c r="A134" s="348" t="s">
        <v>2141</v>
      </c>
      <c r="B134" s="341" t="s">
        <v>2142</v>
      </c>
      <c r="C134" s="349" t="s">
        <v>2143</v>
      </c>
      <c r="D134" s="350">
        <v>12</v>
      </c>
      <c r="E134" s="350">
        <v>13</v>
      </c>
      <c r="F134" s="350">
        <v>48102</v>
      </c>
      <c r="G134" s="350">
        <v>56212</v>
      </c>
      <c r="H134" s="350">
        <v>0</v>
      </c>
      <c r="I134" s="350">
        <v>1</v>
      </c>
      <c r="J134" s="350">
        <v>25</v>
      </c>
      <c r="K134" s="350">
        <v>8</v>
      </c>
      <c r="L134" s="350">
        <v>0</v>
      </c>
      <c r="M134" s="350">
        <v>98</v>
      </c>
      <c r="N134" s="350">
        <v>132</v>
      </c>
      <c r="O134" s="350">
        <v>48102</v>
      </c>
      <c r="P134" s="350">
        <v>0</v>
      </c>
      <c r="Q134" s="350">
        <v>359</v>
      </c>
      <c r="R134" s="350">
        <v>0</v>
      </c>
      <c r="S134" s="350">
        <v>338</v>
      </c>
      <c r="T134" s="350">
        <v>338</v>
      </c>
      <c r="U134" s="350">
        <v>631</v>
      </c>
      <c r="V134" s="350">
        <v>7267</v>
      </c>
      <c r="W134" s="350">
        <v>7605</v>
      </c>
      <c r="X134" s="352">
        <v>6730</v>
      </c>
    </row>
    <row r="135" spans="1:24" ht="24.75" customHeight="1">
      <c r="A135" s="348" t="s">
        <v>2144</v>
      </c>
      <c r="B135" s="341" t="s">
        <v>2145</v>
      </c>
      <c r="C135" s="349" t="s">
        <v>2146</v>
      </c>
      <c r="D135" s="350">
        <v>14.5</v>
      </c>
      <c r="E135" s="350">
        <v>14</v>
      </c>
      <c r="F135" s="350">
        <v>39370</v>
      </c>
      <c r="G135" s="350">
        <v>41186</v>
      </c>
      <c r="H135" s="350">
        <v>0</v>
      </c>
      <c r="I135" s="350">
        <v>21</v>
      </c>
      <c r="J135" s="350">
        <v>42</v>
      </c>
      <c r="K135" s="350">
        <v>237</v>
      </c>
      <c r="L135" s="350">
        <v>154</v>
      </c>
      <c r="M135" s="350">
        <v>37</v>
      </c>
      <c r="N135" s="350">
        <v>491</v>
      </c>
      <c r="O135" s="350">
        <v>39370</v>
      </c>
      <c r="P135" s="350">
        <v>0</v>
      </c>
      <c r="Q135" s="350">
        <v>961</v>
      </c>
      <c r="R135" s="350">
        <v>0</v>
      </c>
      <c r="S135" s="350">
        <v>185.15</v>
      </c>
      <c r="T135" s="350">
        <v>185.15</v>
      </c>
      <c r="U135" s="350">
        <v>135</v>
      </c>
      <c r="V135" s="350">
        <v>8193</v>
      </c>
      <c r="W135" s="350">
        <v>8378</v>
      </c>
      <c r="X135" s="352">
        <v>7210</v>
      </c>
    </row>
    <row r="136" spans="1:24" ht="24.75" customHeight="1">
      <c r="A136" s="348" t="s">
        <v>2147</v>
      </c>
      <c r="B136" s="341" t="s">
        <v>2148</v>
      </c>
      <c r="C136" s="349" t="s">
        <v>2149</v>
      </c>
      <c r="D136" s="350">
        <v>95</v>
      </c>
      <c r="E136" s="350">
        <v>114</v>
      </c>
      <c r="F136" s="350">
        <v>199387.24</v>
      </c>
      <c r="G136" s="350">
        <v>232824.28</v>
      </c>
      <c r="H136" s="350">
        <v>0</v>
      </c>
      <c r="I136" s="350">
        <v>602</v>
      </c>
      <c r="J136" s="350">
        <v>213.97</v>
      </c>
      <c r="K136" s="350">
        <v>192.03</v>
      </c>
      <c r="L136" s="350">
        <v>0.59</v>
      </c>
      <c r="M136" s="350">
        <v>7460.49</v>
      </c>
      <c r="N136" s="350">
        <v>8469.1</v>
      </c>
      <c r="O136" s="350">
        <v>199387.24</v>
      </c>
      <c r="P136" s="350">
        <v>0</v>
      </c>
      <c r="Q136" s="350">
        <v>5861.86</v>
      </c>
      <c r="R136" s="350">
        <v>0</v>
      </c>
      <c r="S136" s="350">
        <v>195.74</v>
      </c>
      <c r="T136" s="350">
        <v>195.74</v>
      </c>
      <c r="U136" s="350">
        <v>5563.9</v>
      </c>
      <c r="V136" s="350">
        <v>58988.36</v>
      </c>
      <c r="W136" s="350">
        <v>59184.11</v>
      </c>
      <c r="X136" s="352">
        <v>55108.52</v>
      </c>
    </row>
    <row r="137" spans="1:24" ht="24.75" customHeight="1">
      <c r="A137" s="348" t="s">
        <v>2150</v>
      </c>
      <c r="B137" s="341" t="s">
        <v>2151</v>
      </c>
      <c r="C137" s="349" t="s">
        <v>2152</v>
      </c>
      <c r="D137" s="350">
        <v>25</v>
      </c>
      <c r="E137" s="350">
        <v>25</v>
      </c>
      <c r="F137" s="350">
        <v>29855</v>
      </c>
      <c r="G137" s="350">
        <v>38705</v>
      </c>
      <c r="H137" s="350">
        <v>0</v>
      </c>
      <c r="I137" s="350">
        <v>10</v>
      </c>
      <c r="J137" s="350">
        <v>29</v>
      </c>
      <c r="K137" s="350">
        <v>352</v>
      </c>
      <c r="L137" s="350">
        <v>427</v>
      </c>
      <c r="M137" s="350">
        <v>22</v>
      </c>
      <c r="N137" s="350">
        <v>840</v>
      </c>
      <c r="O137" s="350">
        <v>29855</v>
      </c>
      <c r="P137" s="350">
        <v>0</v>
      </c>
      <c r="Q137" s="350">
        <v>1057</v>
      </c>
      <c r="R137" s="350">
        <v>0</v>
      </c>
      <c r="S137" s="350">
        <v>117.13</v>
      </c>
      <c r="T137" s="350">
        <v>117.13</v>
      </c>
      <c r="U137" s="350">
        <v>1057</v>
      </c>
      <c r="V137" s="350">
        <v>11699</v>
      </c>
      <c r="W137" s="350">
        <v>11817</v>
      </c>
      <c r="X137" s="352">
        <v>9532</v>
      </c>
    </row>
    <row r="138" spans="1:24" ht="24.75" customHeight="1">
      <c r="A138" s="348" t="s">
        <v>2153</v>
      </c>
      <c r="B138" s="341" t="s">
        <v>2154</v>
      </c>
      <c r="C138" s="349" t="s">
        <v>2155</v>
      </c>
      <c r="D138" s="350">
        <v>30.64</v>
      </c>
      <c r="E138" s="350">
        <v>39</v>
      </c>
      <c r="F138" s="350">
        <v>72500.09</v>
      </c>
      <c r="G138" s="350">
        <v>75399.37</v>
      </c>
      <c r="H138" s="350">
        <v>0</v>
      </c>
      <c r="I138" s="350">
        <v>417.71</v>
      </c>
      <c r="J138" s="350">
        <v>124.43</v>
      </c>
      <c r="K138" s="350">
        <v>646.01</v>
      </c>
      <c r="L138" s="350">
        <v>0</v>
      </c>
      <c r="M138" s="350">
        <v>2265.65</v>
      </c>
      <c r="N138" s="350">
        <v>3453.81</v>
      </c>
      <c r="O138" s="350">
        <v>72500.09</v>
      </c>
      <c r="P138" s="350">
        <v>0</v>
      </c>
      <c r="Q138" s="350">
        <v>2753.4769999999999</v>
      </c>
      <c r="R138" s="350">
        <v>0</v>
      </c>
      <c r="S138" s="319">
        <v>43.35</v>
      </c>
      <c r="T138" s="319">
        <v>0.09</v>
      </c>
      <c r="U138" s="350">
        <v>1162.3699999999999</v>
      </c>
      <c r="V138" s="350">
        <v>19904.63</v>
      </c>
      <c r="W138" s="350">
        <v>19947.98</v>
      </c>
      <c r="X138" s="352">
        <v>18625</v>
      </c>
    </row>
    <row r="139" spans="1:24" ht="24.75" customHeight="1">
      <c r="A139" s="348" t="s">
        <v>2156</v>
      </c>
      <c r="B139" s="341" t="s">
        <v>1278</v>
      </c>
      <c r="C139" s="349" t="s">
        <v>2157</v>
      </c>
      <c r="D139" s="350">
        <v>100</v>
      </c>
      <c r="E139" s="350">
        <v>110</v>
      </c>
      <c r="F139" s="350">
        <v>134505.5</v>
      </c>
      <c r="G139" s="350">
        <v>212299.84</v>
      </c>
      <c r="H139" s="350">
        <v>0</v>
      </c>
      <c r="I139" s="350">
        <v>34.89</v>
      </c>
      <c r="J139" s="350">
        <v>351.73</v>
      </c>
      <c r="K139" s="350">
        <v>1463.13</v>
      </c>
      <c r="L139" s="350">
        <v>0</v>
      </c>
      <c r="M139" s="350">
        <v>5251.98</v>
      </c>
      <c r="N139" s="350">
        <v>7101748.9299999997</v>
      </c>
      <c r="O139" s="350">
        <v>134505.5</v>
      </c>
      <c r="P139" s="350">
        <v>0</v>
      </c>
      <c r="Q139" s="350">
        <v>8322.25</v>
      </c>
      <c r="R139" s="350">
        <v>0</v>
      </c>
      <c r="S139" s="319">
        <v>150.54</v>
      </c>
      <c r="T139" s="319">
        <v>150.54</v>
      </c>
      <c r="U139" s="350">
        <v>6592.67</v>
      </c>
      <c r="V139" s="350">
        <v>66830.47</v>
      </c>
      <c r="W139" s="350">
        <v>66981.009999999995</v>
      </c>
      <c r="X139" s="352">
        <v>58389.69</v>
      </c>
    </row>
    <row r="140" spans="1:24" ht="24.75" customHeight="1">
      <c r="A140" s="348" t="s">
        <v>2158</v>
      </c>
      <c r="B140" s="341" t="s">
        <v>2159</v>
      </c>
      <c r="C140" s="349" t="s">
        <v>2160</v>
      </c>
      <c r="D140" s="350">
        <v>10</v>
      </c>
      <c r="E140" s="350">
        <v>11</v>
      </c>
      <c r="F140" s="350">
        <v>5842</v>
      </c>
      <c r="G140" s="350">
        <v>5206</v>
      </c>
      <c r="H140" s="350">
        <v>0</v>
      </c>
      <c r="I140" s="350">
        <v>449</v>
      </c>
      <c r="J140" s="350">
        <v>45</v>
      </c>
      <c r="K140" s="350">
        <v>1285</v>
      </c>
      <c r="L140" s="350">
        <v>60</v>
      </c>
      <c r="M140" s="350">
        <v>585</v>
      </c>
      <c r="N140" s="350">
        <v>2425</v>
      </c>
      <c r="O140" s="350">
        <v>5842</v>
      </c>
      <c r="P140" s="350">
        <v>0</v>
      </c>
      <c r="Q140" s="350">
        <v>1104</v>
      </c>
      <c r="R140" s="350">
        <v>0</v>
      </c>
      <c r="S140" s="319">
        <v>277.32</v>
      </c>
      <c r="T140" s="319">
        <v>277.32</v>
      </c>
      <c r="U140" s="350">
        <v>220</v>
      </c>
      <c r="V140" s="350">
        <v>9096</v>
      </c>
      <c r="W140" s="350">
        <v>9373</v>
      </c>
      <c r="X140" s="352">
        <v>5545</v>
      </c>
    </row>
    <row r="141" spans="1:24" ht="24.75" customHeight="1">
      <c r="A141" s="1061" t="s">
        <v>2161</v>
      </c>
      <c r="B141" s="1062"/>
      <c r="C141" s="1062"/>
      <c r="D141" s="1062"/>
      <c r="E141" s="1062"/>
      <c r="F141" s="1062"/>
      <c r="G141" s="1062"/>
      <c r="H141" s="1062"/>
      <c r="I141" s="1062"/>
      <c r="J141" s="1062"/>
      <c r="K141" s="1062"/>
      <c r="L141" s="1062"/>
      <c r="M141" s="1062"/>
      <c r="N141" s="1062"/>
      <c r="O141" s="1062"/>
      <c r="P141" s="1062"/>
      <c r="Q141" s="1062"/>
      <c r="R141" s="1062"/>
      <c r="S141" s="1062"/>
      <c r="T141" s="1062"/>
      <c r="U141" s="1062"/>
      <c r="V141" s="1062"/>
      <c r="W141" s="1062"/>
      <c r="X141" s="1063"/>
    </row>
    <row r="142" spans="1:24" ht="24.75" customHeight="1">
      <c r="A142" s="346" t="s">
        <v>2162</v>
      </c>
      <c r="B142" s="347" t="s">
        <v>2163</v>
      </c>
      <c r="C142" s="312" t="s">
        <v>2164</v>
      </c>
      <c r="D142" s="350">
        <v>5</v>
      </c>
      <c r="E142" s="350">
        <v>6</v>
      </c>
      <c r="F142" s="354">
        <v>5920.46</v>
      </c>
      <c r="G142" s="354">
        <v>5763.9</v>
      </c>
      <c r="H142" s="354">
        <v>0</v>
      </c>
      <c r="I142" s="354">
        <v>0</v>
      </c>
      <c r="J142" s="354">
        <v>42.69</v>
      </c>
      <c r="K142" s="354">
        <v>0</v>
      </c>
      <c r="L142" s="354">
        <v>0</v>
      </c>
      <c r="M142" s="354">
        <v>140.63</v>
      </c>
      <c r="N142" s="354">
        <f t="shared" ref="N142:N148" si="9">SUM(I142:M142)</f>
        <v>183.32</v>
      </c>
      <c r="O142" s="354">
        <v>5920.46</v>
      </c>
      <c r="P142" s="354">
        <v>0</v>
      </c>
      <c r="Q142" s="354">
        <v>1226.6099999999999</v>
      </c>
      <c r="R142" s="354">
        <v>0</v>
      </c>
      <c r="S142" s="355">
        <v>0</v>
      </c>
      <c r="T142" s="354">
        <v>0</v>
      </c>
      <c r="U142" s="354">
        <v>140.63</v>
      </c>
      <c r="V142" s="354">
        <v>103150.53</v>
      </c>
      <c r="W142" s="354">
        <v>103150.53</v>
      </c>
      <c r="X142" s="356">
        <v>103150.22</v>
      </c>
    </row>
    <row r="143" spans="1:24" ht="24.75" customHeight="1">
      <c r="A143" s="346" t="s">
        <v>2165</v>
      </c>
      <c r="B143" s="347" t="s">
        <v>2166</v>
      </c>
      <c r="C143" s="312" t="s">
        <v>2167</v>
      </c>
      <c r="D143" s="354">
        <v>95</v>
      </c>
      <c r="E143" s="354">
        <v>100</v>
      </c>
      <c r="F143" s="354">
        <v>1494108.66</v>
      </c>
      <c r="G143" s="354">
        <v>1595364.75</v>
      </c>
      <c r="H143" s="354">
        <v>0</v>
      </c>
      <c r="I143" s="354">
        <v>1669.21</v>
      </c>
      <c r="J143" s="354">
        <v>316.51</v>
      </c>
      <c r="K143" s="354">
        <v>2038.1</v>
      </c>
      <c r="L143" s="354">
        <v>0</v>
      </c>
      <c r="M143" s="354">
        <v>1409.34</v>
      </c>
      <c r="N143" s="354">
        <f t="shared" si="9"/>
        <v>5433.16</v>
      </c>
      <c r="O143" s="354">
        <v>1494108.66</v>
      </c>
      <c r="P143" s="354">
        <v>0</v>
      </c>
      <c r="Q143" s="354">
        <v>13228.96</v>
      </c>
      <c r="R143" s="354">
        <v>0</v>
      </c>
      <c r="S143" s="354">
        <v>21.56</v>
      </c>
      <c r="T143" s="354">
        <v>-1029.71</v>
      </c>
      <c r="U143" s="354">
        <v>10880.17</v>
      </c>
      <c r="V143" s="354">
        <v>156538.37</v>
      </c>
      <c r="W143" s="354">
        <v>156559.93</v>
      </c>
      <c r="X143" s="356">
        <v>135549.54</v>
      </c>
    </row>
    <row r="144" spans="1:24" ht="24.75" customHeight="1">
      <c r="A144" s="346" t="s">
        <v>2168</v>
      </c>
      <c r="B144" s="347" t="s">
        <v>2169</v>
      </c>
      <c r="C144" s="312" t="s">
        <v>2170</v>
      </c>
      <c r="D144" s="354">
        <v>113</v>
      </c>
      <c r="E144" s="354">
        <v>114</v>
      </c>
      <c r="F144" s="354">
        <v>2256110.7799999998</v>
      </c>
      <c r="G144" s="354">
        <v>2403209.37</v>
      </c>
      <c r="H144" s="354">
        <v>0</v>
      </c>
      <c r="I144" s="354">
        <v>2162.6</v>
      </c>
      <c r="J144" s="354">
        <v>77.790000000000006</v>
      </c>
      <c r="K144" s="354">
        <v>1000.52</v>
      </c>
      <c r="L144" s="354">
        <v>0</v>
      </c>
      <c r="M144" s="354">
        <v>484.91</v>
      </c>
      <c r="N144" s="354">
        <f t="shared" si="9"/>
        <v>3725.8199999999997</v>
      </c>
      <c r="O144" s="354">
        <v>2256110.7799999998</v>
      </c>
      <c r="P144" s="354">
        <v>0</v>
      </c>
      <c r="Q144" s="354">
        <v>17684.3</v>
      </c>
      <c r="R144" s="354">
        <v>0</v>
      </c>
      <c r="S144" s="354">
        <v>3535.24</v>
      </c>
      <c r="T144" s="354">
        <v>85.67</v>
      </c>
      <c r="U144" s="354">
        <f>11207.78+1926.56</f>
        <v>13134.34</v>
      </c>
      <c r="V144" s="354">
        <v>206104.23</v>
      </c>
      <c r="W144" s="354">
        <v>209639.47</v>
      </c>
      <c r="X144" s="356">
        <v>154279.16</v>
      </c>
    </row>
    <row r="145" spans="1:24" ht="24.75" customHeight="1">
      <c r="A145" s="346" t="s">
        <v>2171</v>
      </c>
      <c r="B145" s="347" t="s">
        <v>2172</v>
      </c>
      <c r="C145" s="312" t="s">
        <v>2173</v>
      </c>
      <c r="D145" s="354">
        <v>101</v>
      </c>
      <c r="E145" s="354">
        <v>103</v>
      </c>
      <c r="F145" s="354">
        <v>2318951.8199999998</v>
      </c>
      <c r="G145" s="354">
        <v>2427342.54</v>
      </c>
      <c r="H145" s="354">
        <v>0</v>
      </c>
      <c r="I145" s="354">
        <v>2224.42</v>
      </c>
      <c r="J145" s="354">
        <v>95.22</v>
      </c>
      <c r="K145" s="354">
        <v>2861.4</v>
      </c>
      <c r="L145" s="354">
        <v>0</v>
      </c>
      <c r="M145" s="354">
        <v>3989.44</v>
      </c>
      <c r="N145" s="354">
        <f t="shared" si="9"/>
        <v>9170.48</v>
      </c>
      <c r="O145" s="354">
        <v>2318951.8199999998</v>
      </c>
      <c r="P145" s="354">
        <v>0</v>
      </c>
      <c r="Q145" s="354">
        <v>18572.29</v>
      </c>
      <c r="R145" s="354">
        <v>0</v>
      </c>
      <c r="S145" s="354">
        <v>-2248.34</v>
      </c>
      <c r="T145" s="354">
        <v>-3915.87</v>
      </c>
      <c r="U145" s="354">
        <f>8375.38+727.66</f>
        <v>9103.0399999999991</v>
      </c>
      <c r="V145" s="354">
        <f>203127.64+19206.57</f>
        <v>222334.21000000002</v>
      </c>
      <c r="W145" s="354">
        <f>193929.51+26156.36</f>
        <v>220085.87</v>
      </c>
      <c r="X145" s="356">
        <v>182627.52</v>
      </c>
    </row>
    <row r="146" spans="1:24" ht="24.75" customHeight="1">
      <c r="A146" s="346" t="s">
        <v>2174</v>
      </c>
      <c r="B146" s="347" t="s">
        <v>2175</v>
      </c>
      <c r="C146" s="312" t="s">
        <v>2176</v>
      </c>
      <c r="D146" s="354">
        <v>63</v>
      </c>
      <c r="E146" s="354">
        <v>63</v>
      </c>
      <c r="F146" s="354">
        <v>1336485.4099999999</v>
      </c>
      <c r="G146" s="354">
        <v>1408439.94</v>
      </c>
      <c r="H146" s="354">
        <v>0</v>
      </c>
      <c r="I146" s="354">
        <v>218.5</v>
      </c>
      <c r="J146" s="354">
        <v>85.48</v>
      </c>
      <c r="K146" s="354">
        <v>2043.9</v>
      </c>
      <c r="L146" s="354">
        <v>0</v>
      </c>
      <c r="M146" s="354">
        <v>1099.4000000000001</v>
      </c>
      <c r="N146" s="354">
        <f t="shared" si="9"/>
        <v>3447.28</v>
      </c>
      <c r="O146" s="354">
        <v>1336485.4099999999</v>
      </c>
      <c r="P146" s="354">
        <v>0</v>
      </c>
      <c r="Q146" s="354">
        <v>9071.5300000000007</v>
      </c>
      <c r="R146" s="354">
        <v>0</v>
      </c>
      <c r="S146" s="354">
        <v>-3203.26</v>
      </c>
      <c r="T146" s="354">
        <v>-3358.75</v>
      </c>
      <c r="U146" s="354">
        <f>8836.53+176.92</f>
        <v>9013.4500000000007</v>
      </c>
      <c r="V146" s="354">
        <f>64600.48+1490.63</f>
        <v>66091.11</v>
      </c>
      <c r="W146" s="354">
        <v>62887.85</v>
      </c>
      <c r="X146" s="356">
        <v>55671.08</v>
      </c>
    </row>
    <row r="147" spans="1:24" ht="24.75" customHeight="1">
      <c r="A147" s="346" t="s">
        <v>2177</v>
      </c>
      <c r="B147" s="347" t="s">
        <v>2178</v>
      </c>
      <c r="C147" s="312" t="s">
        <v>2179</v>
      </c>
      <c r="D147" s="354">
        <v>110</v>
      </c>
      <c r="E147" s="354">
        <v>120</v>
      </c>
      <c r="F147" s="354">
        <v>1426208.04</v>
      </c>
      <c r="G147" s="354">
        <v>1548320.59</v>
      </c>
      <c r="H147" s="354">
        <v>0</v>
      </c>
      <c r="I147" s="354">
        <v>1049.28</v>
      </c>
      <c r="J147" s="354">
        <v>290.92</v>
      </c>
      <c r="K147" s="354">
        <v>2029.27</v>
      </c>
      <c r="L147" s="354">
        <v>0</v>
      </c>
      <c r="M147" s="354">
        <v>417.7</v>
      </c>
      <c r="N147" s="354">
        <f t="shared" si="9"/>
        <v>3787.17</v>
      </c>
      <c r="O147" s="354">
        <v>1426208.04</v>
      </c>
      <c r="P147" s="354">
        <v>0</v>
      </c>
      <c r="Q147" s="354">
        <v>19645.689999999999</v>
      </c>
      <c r="R147" s="354">
        <v>0</v>
      </c>
      <c r="S147" s="354">
        <v>4073.64</v>
      </c>
      <c r="T147" s="354">
        <v>2266.56</v>
      </c>
      <c r="U147" s="354">
        <v>10183.129999999999</v>
      </c>
      <c r="V147" s="354">
        <v>155379.91</v>
      </c>
      <c r="W147" s="354">
        <f>125700.79+33752.76</f>
        <v>159453.54999999999</v>
      </c>
      <c r="X147" s="356">
        <v>119739.67</v>
      </c>
    </row>
    <row r="148" spans="1:24" ht="24.75" customHeight="1">
      <c r="A148" s="346" t="s">
        <v>2180</v>
      </c>
      <c r="B148" s="347" t="s">
        <v>2181</v>
      </c>
      <c r="C148" s="312" t="s">
        <v>2182</v>
      </c>
      <c r="D148" s="354">
        <v>96</v>
      </c>
      <c r="E148" s="354">
        <v>98</v>
      </c>
      <c r="F148" s="354">
        <v>1732126.13</v>
      </c>
      <c r="G148" s="354">
        <v>1846377.09</v>
      </c>
      <c r="H148" s="354">
        <v>0</v>
      </c>
      <c r="I148" s="354">
        <v>1104.06</v>
      </c>
      <c r="J148" s="354">
        <v>111.54</v>
      </c>
      <c r="K148" s="354">
        <v>2023.48</v>
      </c>
      <c r="L148" s="354">
        <v>0</v>
      </c>
      <c r="M148" s="354">
        <v>312.01</v>
      </c>
      <c r="N148" s="354">
        <f t="shared" si="9"/>
        <v>3551.09</v>
      </c>
      <c r="O148" s="354">
        <v>1732126.13</v>
      </c>
      <c r="P148" s="354">
        <v>50</v>
      </c>
      <c r="Q148" s="354">
        <v>10091.5</v>
      </c>
      <c r="R148" s="354">
        <v>0</v>
      </c>
      <c r="S148" s="354">
        <v>1123.3499999999999</v>
      </c>
      <c r="T148" s="354">
        <v>285.42</v>
      </c>
      <c r="U148" s="354">
        <v>12277.77</v>
      </c>
      <c r="V148" s="354">
        <v>148595.79</v>
      </c>
      <c r="W148" s="354">
        <v>149719.14000000001</v>
      </c>
      <c r="X148" s="356">
        <v>129883.68</v>
      </c>
    </row>
    <row r="149" spans="1:24" ht="24.75" customHeight="1">
      <c r="A149" s="1061" t="s">
        <v>3955</v>
      </c>
      <c r="B149" s="1062"/>
      <c r="C149" s="1062"/>
      <c r="D149" s="1062"/>
      <c r="E149" s="1062"/>
      <c r="F149" s="1062"/>
      <c r="G149" s="1062"/>
      <c r="H149" s="1062"/>
      <c r="I149" s="1062"/>
      <c r="J149" s="1062"/>
      <c r="K149" s="1062"/>
      <c r="L149" s="1062"/>
      <c r="M149" s="1062"/>
      <c r="N149" s="1062"/>
      <c r="O149" s="1062"/>
      <c r="P149" s="1062"/>
      <c r="Q149" s="1062"/>
      <c r="R149" s="1062"/>
      <c r="S149" s="1062"/>
      <c r="T149" s="1062"/>
      <c r="U149" s="1062"/>
      <c r="V149" s="1062"/>
      <c r="W149" s="1062"/>
      <c r="X149" s="1063"/>
    </row>
    <row r="150" spans="1:24" ht="24.75" customHeight="1" thickBot="1">
      <c r="A150" s="357" t="s">
        <v>2183</v>
      </c>
      <c r="B150" s="358">
        <v>72046635</v>
      </c>
      <c r="C150" s="359" t="s">
        <v>2184</v>
      </c>
      <c r="D150" s="360">
        <v>6.67</v>
      </c>
      <c r="E150" s="360">
        <v>7</v>
      </c>
      <c r="F150" s="360">
        <v>6480.63</v>
      </c>
      <c r="G150" s="360">
        <v>902.72</v>
      </c>
      <c r="H150" s="360">
        <v>0</v>
      </c>
      <c r="I150" s="360">
        <v>291.26</v>
      </c>
      <c r="J150" s="360">
        <v>10.94</v>
      </c>
      <c r="K150" s="360">
        <v>291.26</v>
      </c>
      <c r="L150" s="360">
        <v>0</v>
      </c>
      <c r="M150" s="360">
        <v>91.08</v>
      </c>
      <c r="N150" s="360">
        <v>684.55</v>
      </c>
      <c r="O150" s="360">
        <v>6480.63</v>
      </c>
      <c r="P150" s="360">
        <v>0</v>
      </c>
      <c r="Q150" s="360">
        <v>527.27</v>
      </c>
      <c r="R150" s="360">
        <v>0</v>
      </c>
      <c r="S150" s="361">
        <v>-744.71</v>
      </c>
      <c r="T150" s="361">
        <v>-744.71</v>
      </c>
      <c r="U150" s="360">
        <v>163.57</v>
      </c>
      <c r="V150" s="360">
        <v>6925.81</v>
      </c>
      <c r="W150" s="360">
        <v>6181.1</v>
      </c>
      <c r="X150" s="362">
        <v>6000</v>
      </c>
    </row>
    <row r="151" spans="1:24" ht="24.75" customHeight="1">
      <c r="A151" s="363"/>
      <c r="B151" s="364"/>
      <c r="C151" s="365"/>
      <c r="D151" s="366"/>
      <c r="E151" s="366"/>
      <c r="F151" s="366"/>
      <c r="G151" s="366"/>
      <c r="H151" s="366"/>
      <c r="I151" s="366"/>
      <c r="J151" s="366"/>
      <c r="K151" s="366"/>
      <c r="L151" s="366"/>
      <c r="M151" s="366"/>
      <c r="N151" s="366"/>
      <c r="O151" s="366"/>
      <c r="P151" s="366"/>
      <c r="Q151" s="366"/>
      <c r="R151" s="366"/>
      <c r="S151" s="366"/>
      <c r="T151" s="366"/>
      <c r="U151" s="366"/>
      <c r="V151" s="366"/>
      <c r="W151" s="366"/>
      <c r="X151" s="366"/>
    </row>
    <row r="152" spans="1:24" ht="17.25" customHeight="1">
      <c r="A152" s="118" t="s">
        <v>2185</v>
      </c>
      <c r="C152" s="368"/>
      <c r="F152" s="369"/>
      <c r="G152" s="369"/>
      <c r="H152" s="369"/>
      <c r="I152" s="369"/>
      <c r="J152" s="369"/>
      <c r="K152" s="369"/>
      <c r="L152" s="369"/>
      <c r="M152" s="369"/>
      <c r="N152" s="369"/>
      <c r="O152" s="369"/>
      <c r="P152" s="369"/>
      <c r="Q152" s="369"/>
      <c r="R152" s="369"/>
      <c r="S152" s="369"/>
      <c r="T152" s="369"/>
      <c r="U152" s="369"/>
      <c r="V152" s="369"/>
      <c r="W152" s="369"/>
      <c r="X152" s="369"/>
    </row>
    <row r="153" spans="1:24">
      <c r="A153" s="118" t="s">
        <v>2186</v>
      </c>
      <c r="D153" s="370"/>
      <c r="E153" s="370"/>
      <c r="F153" s="369"/>
      <c r="G153" s="369"/>
      <c r="H153" s="369"/>
      <c r="I153" s="369"/>
      <c r="J153" s="369"/>
      <c r="K153" s="369"/>
      <c r="L153" s="369"/>
      <c r="M153" s="369"/>
      <c r="N153" s="369"/>
      <c r="P153" s="369"/>
      <c r="Q153" s="369"/>
      <c r="R153" s="369"/>
      <c r="S153" s="369"/>
      <c r="T153" s="369"/>
      <c r="U153" s="369"/>
      <c r="V153" s="369"/>
      <c r="W153" s="369"/>
      <c r="X153" s="369"/>
    </row>
    <row r="154" spans="1:24">
      <c r="D154" s="370"/>
      <c r="E154" s="370"/>
      <c r="F154" s="369"/>
      <c r="G154" s="369"/>
      <c r="H154" s="369"/>
      <c r="I154" s="369"/>
      <c r="J154" s="369"/>
      <c r="K154" s="369"/>
      <c r="L154" s="369"/>
      <c r="M154" s="369"/>
      <c r="N154" s="369"/>
      <c r="P154" s="369"/>
      <c r="Q154" s="369"/>
      <c r="R154" s="369"/>
      <c r="S154" s="369"/>
      <c r="T154" s="369"/>
      <c r="U154" s="369"/>
      <c r="V154" s="369"/>
      <c r="W154" s="369"/>
      <c r="X154" s="369"/>
    </row>
    <row r="155" spans="1:24">
      <c r="D155" s="370"/>
      <c r="E155" s="370"/>
      <c r="F155" s="369"/>
      <c r="G155" s="369"/>
      <c r="H155" s="369"/>
      <c r="I155" s="369"/>
      <c r="J155" s="369"/>
      <c r="K155" s="369"/>
      <c r="L155" s="369"/>
      <c r="M155" s="369"/>
      <c r="N155" s="369"/>
      <c r="P155" s="369"/>
      <c r="Q155" s="369"/>
      <c r="R155" s="369"/>
      <c r="S155" s="369"/>
      <c r="T155" s="369"/>
      <c r="U155" s="369"/>
      <c r="V155" s="369"/>
      <c r="W155" s="369"/>
      <c r="X155" s="369"/>
    </row>
    <row r="156" spans="1:24">
      <c r="B156" s="371"/>
      <c r="C156" s="372"/>
    </row>
    <row r="157" spans="1:24">
      <c r="B157" s="371"/>
      <c r="C157" s="372"/>
    </row>
    <row r="158" spans="1:24">
      <c r="A158" s="372"/>
      <c r="C158" s="373"/>
      <c r="D158" s="374"/>
      <c r="E158" s="374"/>
    </row>
    <row r="159" spans="1:24">
      <c r="A159" s="375"/>
      <c r="C159" s="373"/>
      <c r="D159" s="374"/>
      <c r="E159" s="374"/>
    </row>
    <row r="160" spans="1:24">
      <c r="C160" s="373"/>
      <c r="D160" s="376"/>
      <c r="E160" s="376"/>
      <c r="F160" s="376"/>
    </row>
    <row r="161" spans="1:6">
      <c r="A161" s="377"/>
      <c r="C161" s="373"/>
      <c r="D161" s="376"/>
      <c r="E161" s="376"/>
      <c r="F161" s="376"/>
    </row>
    <row r="162" spans="1:6">
      <c r="C162" s="373"/>
      <c r="D162" s="376"/>
      <c r="E162" s="376"/>
      <c r="F162" s="376"/>
    </row>
    <row r="163" spans="1:6">
      <c r="C163" s="373"/>
      <c r="D163" s="376"/>
      <c r="E163" s="376"/>
      <c r="F163" s="376"/>
    </row>
    <row r="164" spans="1:6">
      <c r="C164" s="373"/>
      <c r="D164" s="376"/>
      <c r="E164" s="376"/>
      <c r="F164" s="376"/>
    </row>
    <row r="165" spans="1:6">
      <c r="C165" s="373"/>
      <c r="D165" s="376"/>
      <c r="E165" s="376"/>
      <c r="F165" s="376"/>
    </row>
    <row r="166" spans="1:6">
      <c r="C166" s="373"/>
      <c r="D166" s="376"/>
      <c r="E166" s="376"/>
      <c r="F166" s="376"/>
    </row>
    <row r="167" spans="1:6">
      <c r="C167" s="373"/>
      <c r="D167" s="376"/>
      <c r="E167" s="376"/>
      <c r="F167" s="376"/>
    </row>
    <row r="168" spans="1:6">
      <c r="C168" s="373"/>
      <c r="D168" s="376"/>
      <c r="E168" s="376"/>
      <c r="F168" s="376"/>
    </row>
    <row r="169" spans="1:6">
      <c r="C169" s="373"/>
      <c r="D169" s="376"/>
      <c r="E169" s="376"/>
      <c r="F169" s="376"/>
    </row>
    <row r="170" spans="1:6">
      <c r="C170" s="373"/>
      <c r="D170" s="376"/>
      <c r="E170" s="376"/>
      <c r="F170" s="376"/>
    </row>
    <row r="171" spans="1:6">
      <c r="C171" s="373"/>
      <c r="D171" s="376"/>
      <c r="E171" s="376"/>
      <c r="F171" s="376"/>
    </row>
    <row r="172" spans="1:6">
      <c r="C172" s="373"/>
      <c r="D172" s="376"/>
      <c r="E172" s="376"/>
      <c r="F172" s="376"/>
    </row>
    <row r="173" spans="1:6">
      <c r="C173" s="373"/>
      <c r="D173" s="376"/>
      <c r="E173" s="376"/>
      <c r="F173" s="376"/>
    </row>
    <row r="174" spans="1:6">
      <c r="C174" s="373"/>
      <c r="D174" s="376"/>
      <c r="E174" s="376"/>
      <c r="F174" s="376"/>
    </row>
    <row r="175" spans="1:6">
      <c r="C175" s="373"/>
      <c r="D175" s="376"/>
      <c r="E175" s="376"/>
      <c r="F175" s="376"/>
    </row>
    <row r="176" spans="1:6">
      <c r="C176" s="373"/>
      <c r="D176" s="376"/>
      <c r="E176" s="376"/>
      <c r="F176" s="376"/>
    </row>
    <row r="177" spans="3:6">
      <c r="C177" s="373"/>
      <c r="D177" s="376"/>
      <c r="E177" s="376"/>
      <c r="F177" s="376"/>
    </row>
    <row r="178" spans="3:6">
      <c r="C178" s="373"/>
      <c r="D178" s="376"/>
      <c r="E178" s="376"/>
      <c r="F178" s="376"/>
    </row>
    <row r="179" spans="3:6">
      <c r="C179" s="373"/>
      <c r="D179" s="376"/>
      <c r="E179" s="376"/>
      <c r="F179" s="376"/>
    </row>
    <row r="180" spans="3:6">
      <c r="C180" s="373"/>
      <c r="D180" s="376"/>
      <c r="E180" s="376"/>
      <c r="F180" s="376"/>
    </row>
    <row r="181" spans="3:6">
      <c r="C181" s="373"/>
      <c r="D181" s="376"/>
      <c r="E181" s="376"/>
      <c r="F181" s="376"/>
    </row>
    <row r="182" spans="3:6">
      <c r="C182" s="373"/>
      <c r="D182" s="373"/>
      <c r="E182" s="373"/>
      <c r="F182" s="373"/>
    </row>
    <row r="183" spans="3:6">
      <c r="C183" s="373"/>
      <c r="D183" s="373"/>
      <c r="E183" s="373"/>
      <c r="F183" s="373"/>
    </row>
    <row r="184" spans="3:6">
      <c r="C184" s="373"/>
      <c r="D184" s="373"/>
      <c r="E184" s="373"/>
      <c r="F184" s="373"/>
    </row>
    <row r="185" spans="3:6">
      <c r="C185" s="373"/>
      <c r="D185" s="373"/>
      <c r="E185" s="373"/>
      <c r="F185" s="373"/>
    </row>
    <row r="186" spans="3:6">
      <c r="C186" s="373"/>
      <c r="D186" s="373"/>
      <c r="E186" s="373"/>
      <c r="F186" s="373"/>
    </row>
    <row r="187" spans="3:6">
      <c r="C187" s="373"/>
      <c r="D187" s="373"/>
      <c r="E187" s="373"/>
      <c r="F187" s="373"/>
    </row>
    <row r="188" spans="3:6">
      <c r="C188" s="373"/>
      <c r="D188" s="373"/>
      <c r="E188" s="373"/>
      <c r="F188" s="373"/>
    </row>
    <row r="189" spans="3:6">
      <c r="C189" s="373"/>
      <c r="D189" s="373"/>
      <c r="E189" s="373"/>
      <c r="F189" s="373"/>
    </row>
  </sheetData>
  <mergeCells count="11">
    <mergeCell ref="A4:X4"/>
    <mergeCell ref="A1:X1"/>
    <mergeCell ref="A2:C2"/>
    <mergeCell ref="D2:E2"/>
    <mergeCell ref="F2:R2"/>
    <mergeCell ref="S2:X2"/>
    <mergeCell ref="A109:X109"/>
    <mergeCell ref="A122:X122"/>
    <mergeCell ref="A127:X127"/>
    <mergeCell ref="A141:X141"/>
    <mergeCell ref="A149:X149"/>
  </mergeCells>
  <pageMargins left="0.62992125984251968" right="0.47244094488188981" top="0.78740157480314965" bottom="0.78740157480314965" header="0.51181102362204722" footer="0.51181102362204722"/>
  <pageSetup paperSize="9" scale="40" orientation="landscape" copies="2" r:id="rId1"/>
  <headerFooter alignWithMargins="0">
    <oddHeader>&amp;LPříloha č. 12&amp;CZávěrečný účet Plzeňského kraje za rok 2010</oddHeader>
    <oddFooter>&amp;LKrajský úřad Plzeňského kraje
Odbor ekonomický&amp;C&amp;P&amp;R&amp;D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91"/>
  <sheetViews>
    <sheetView zoomScaleNormal="100" zoomScaleSheetLayoutView="100" workbookViewId="0">
      <selection activeCell="G6" sqref="G6"/>
    </sheetView>
  </sheetViews>
  <sheetFormatPr defaultRowHeight="13.2"/>
  <cols>
    <col min="1" max="1" width="4.44140625" style="251" customWidth="1"/>
    <col min="2" max="2" width="33.6640625" style="251" customWidth="1"/>
    <col min="3" max="3" width="22.5546875" style="251" customWidth="1"/>
    <col min="4" max="4" width="18" style="251" customWidth="1"/>
    <col min="5" max="5" width="24.33203125" style="251" hidden="1" customWidth="1"/>
    <col min="6" max="256" width="9.109375" style="251"/>
    <col min="257" max="257" width="4.44140625" style="251" customWidth="1"/>
    <col min="258" max="258" width="33.6640625" style="251" customWidth="1"/>
    <col min="259" max="259" width="22.5546875" style="251" customWidth="1"/>
    <col min="260" max="260" width="18" style="251" customWidth="1"/>
    <col min="261" max="261" width="0" style="251" hidden="1" customWidth="1"/>
    <col min="262" max="512" width="9.109375" style="251"/>
    <col min="513" max="513" width="4.44140625" style="251" customWidth="1"/>
    <col min="514" max="514" width="33.6640625" style="251" customWidth="1"/>
    <col min="515" max="515" width="22.5546875" style="251" customWidth="1"/>
    <col min="516" max="516" width="18" style="251" customWidth="1"/>
    <col min="517" max="517" width="0" style="251" hidden="1" customWidth="1"/>
    <col min="518" max="768" width="9.109375" style="251"/>
    <col min="769" max="769" width="4.44140625" style="251" customWidth="1"/>
    <col min="770" max="770" width="33.6640625" style="251" customWidth="1"/>
    <col min="771" max="771" width="22.5546875" style="251" customWidth="1"/>
    <col min="772" max="772" width="18" style="251" customWidth="1"/>
    <col min="773" max="773" width="0" style="251" hidden="1" customWidth="1"/>
    <col min="774" max="1024" width="9.109375" style="251"/>
    <col min="1025" max="1025" width="4.44140625" style="251" customWidth="1"/>
    <col min="1026" max="1026" width="33.6640625" style="251" customWidth="1"/>
    <col min="1027" max="1027" width="22.5546875" style="251" customWidth="1"/>
    <col min="1028" max="1028" width="18" style="251" customWidth="1"/>
    <col min="1029" max="1029" width="0" style="251" hidden="1" customWidth="1"/>
    <col min="1030" max="1280" width="9.109375" style="251"/>
    <col min="1281" max="1281" width="4.44140625" style="251" customWidth="1"/>
    <col min="1282" max="1282" width="33.6640625" style="251" customWidth="1"/>
    <col min="1283" max="1283" width="22.5546875" style="251" customWidth="1"/>
    <col min="1284" max="1284" width="18" style="251" customWidth="1"/>
    <col min="1285" max="1285" width="0" style="251" hidden="1" customWidth="1"/>
    <col min="1286" max="1536" width="9.109375" style="251"/>
    <col min="1537" max="1537" width="4.44140625" style="251" customWidth="1"/>
    <col min="1538" max="1538" width="33.6640625" style="251" customWidth="1"/>
    <col min="1539" max="1539" width="22.5546875" style="251" customWidth="1"/>
    <col min="1540" max="1540" width="18" style="251" customWidth="1"/>
    <col min="1541" max="1541" width="0" style="251" hidden="1" customWidth="1"/>
    <col min="1542" max="1792" width="9.109375" style="251"/>
    <col min="1793" max="1793" width="4.44140625" style="251" customWidth="1"/>
    <col min="1794" max="1794" width="33.6640625" style="251" customWidth="1"/>
    <col min="1795" max="1795" width="22.5546875" style="251" customWidth="1"/>
    <col min="1796" max="1796" width="18" style="251" customWidth="1"/>
    <col min="1797" max="1797" width="0" style="251" hidden="1" customWidth="1"/>
    <col min="1798" max="2048" width="9.109375" style="251"/>
    <col min="2049" max="2049" width="4.44140625" style="251" customWidth="1"/>
    <col min="2050" max="2050" width="33.6640625" style="251" customWidth="1"/>
    <col min="2051" max="2051" width="22.5546875" style="251" customWidth="1"/>
    <col min="2052" max="2052" width="18" style="251" customWidth="1"/>
    <col min="2053" max="2053" width="0" style="251" hidden="1" customWidth="1"/>
    <col min="2054" max="2304" width="9.109375" style="251"/>
    <col min="2305" max="2305" width="4.44140625" style="251" customWidth="1"/>
    <col min="2306" max="2306" width="33.6640625" style="251" customWidth="1"/>
    <col min="2307" max="2307" width="22.5546875" style="251" customWidth="1"/>
    <col min="2308" max="2308" width="18" style="251" customWidth="1"/>
    <col min="2309" max="2309" width="0" style="251" hidden="1" customWidth="1"/>
    <col min="2310" max="2560" width="9.109375" style="251"/>
    <col min="2561" max="2561" width="4.44140625" style="251" customWidth="1"/>
    <col min="2562" max="2562" width="33.6640625" style="251" customWidth="1"/>
    <col min="2563" max="2563" width="22.5546875" style="251" customWidth="1"/>
    <col min="2564" max="2564" width="18" style="251" customWidth="1"/>
    <col min="2565" max="2565" width="0" style="251" hidden="1" customWidth="1"/>
    <col min="2566" max="2816" width="9.109375" style="251"/>
    <col min="2817" max="2817" width="4.44140625" style="251" customWidth="1"/>
    <col min="2818" max="2818" width="33.6640625" style="251" customWidth="1"/>
    <col min="2819" max="2819" width="22.5546875" style="251" customWidth="1"/>
    <col min="2820" max="2820" width="18" style="251" customWidth="1"/>
    <col min="2821" max="2821" width="0" style="251" hidden="1" customWidth="1"/>
    <col min="2822" max="3072" width="9.109375" style="251"/>
    <col min="3073" max="3073" width="4.44140625" style="251" customWidth="1"/>
    <col min="3074" max="3074" width="33.6640625" style="251" customWidth="1"/>
    <col min="3075" max="3075" width="22.5546875" style="251" customWidth="1"/>
    <col min="3076" max="3076" width="18" style="251" customWidth="1"/>
    <col min="3077" max="3077" width="0" style="251" hidden="1" customWidth="1"/>
    <col min="3078" max="3328" width="9.109375" style="251"/>
    <col min="3329" max="3329" width="4.44140625" style="251" customWidth="1"/>
    <col min="3330" max="3330" width="33.6640625" style="251" customWidth="1"/>
    <col min="3331" max="3331" width="22.5546875" style="251" customWidth="1"/>
    <col min="3332" max="3332" width="18" style="251" customWidth="1"/>
    <col min="3333" max="3333" width="0" style="251" hidden="1" customWidth="1"/>
    <col min="3334" max="3584" width="9.109375" style="251"/>
    <col min="3585" max="3585" width="4.44140625" style="251" customWidth="1"/>
    <col min="3586" max="3586" width="33.6640625" style="251" customWidth="1"/>
    <col min="3587" max="3587" width="22.5546875" style="251" customWidth="1"/>
    <col min="3588" max="3588" width="18" style="251" customWidth="1"/>
    <col min="3589" max="3589" width="0" style="251" hidden="1" customWidth="1"/>
    <col min="3590" max="3840" width="9.109375" style="251"/>
    <col min="3841" max="3841" width="4.44140625" style="251" customWidth="1"/>
    <col min="3842" max="3842" width="33.6640625" style="251" customWidth="1"/>
    <col min="3843" max="3843" width="22.5546875" style="251" customWidth="1"/>
    <col min="3844" max="3844" width="18" style="251" customWidth="1"/>
    <col min="3845" max="3845" width="0" style="251" hidden="1" customWidth="1"/>
    <col min="3846" max="4096" width="9.109375" style="251"/>
    <col min="4097" max="4097" width="4.44140625" style="251" customWidth="1"/>
    <col min="4098" max="4098" width="33.6640625" style="251" customWidth="1"/>
    <col min="4099" max="4099" width="22.5546875" style="251" customWidth="1"/>
    <col min="4100" max="4100" width="18" style="251" customWidth="1"/>
    <col min="4101" max="4101" width="0" style="251" hidden="1" customWidth="1"/>
    <col min="4102" max="4352" width="9.109375" style="251"/>
    <col min="4353" max="4353" width="4.44140625" style="251" customWidth="1"/>
    <col min="4354" max="4354" width="33.6640625" style="251" customWidth="1"/>
    <col min="4355" max="4355" width="22.5546875" style="251" customWidth="1"/>
    <col min="4356" max="4356" width="18" style="251" customWidth="1"/>
    <col min="4357" max="4357" width="0" style="251" hidden="1" customWidth="1"/>
    <col min="4358" max="4608" width="9.109375" style="251"/>
    <col min="4609" max="4609" width="4.44140625" style="251" customWidth="1"/>
    <col min="4610" max="4610" width="33.6640625" style="251" customWidth="1"/>
    <col min="4611" max="4611" width="22.5546875" style="251" customWidth="1"/>
    <col min="4612" max="4612" width="18" style="251" customWidth="1"/>
    <col min="4613" max="4613" width="0" style="251" hidden="1" customWidth="1"/>
    <col min="4614" max="4864" width="9.109375" style="251"/>
    <col min="4865" max="4865" width="4.44140625" style="251" customWidth="1"/>
    <col min="4866" max="4866" width="33.6640625" style="251" customWidth="1"/>
    <col min="4867" max="4867" width="22.5546875" style="251" customWidth="1"/>
    <col min="4868" max="4868" width="18" style="251" customWidth="1"/>
    <col min="4869" max="4869" width="0" style="251" hidden="1" customWidth="1"/>
    <col min="4870" max="5120" width="9.109375" style="251"/>
    <col min="5121" max="5121" width="4.44140625" style="251" customWidth="1"/>
    <col min="5122" max="5122" width="33.6640625" style="251" customWidth="1"/>
    <col min="5123" max="5123" width="22.5546875" style="251" customWidth="1"/>
    <col min="5124" max="5124" width="18" style="251" customWidth="1"/>
    <col min="5125" max="5125" width="0" style="251" hidden="1" customWidth="1"/>
    <col min="5126" max="5376" width="9.109375" style="251"/>
    <col min="5377" max="5377" width="4.44140625" style="251" customWidth="1"/>
    <col min="5378" max="5378" width="33.6640625" style="251" customWidth="1"/>
    <col min="5379" max="5379" width="22.5546875" style="251" customWidth="1"/>
    <col min="5380" max="5380" width="18" style="251" customWidth="1"/>
    <col min="5381" max="5381" width="0" style="251" hidden="1" customWidth="1"/>
    <col min="5382" max="5632" width="9.109375" style="251"/>
    <col min="5633" max="5633" width="4.44140625" style="251" customWidth="1"/>
    <col min="5634" max="5634" width="33.6640625" style="251" customWidth="1"/>
    <col min="5635" max="5635" width="22.5546875" style="251" customWidth="1"/>
    <col min="5636" max="5636" width="18" style="251" customWidth="1"/>
    <col min="5637" max="5637" width="0" style="251" hidden="1" customWidth="1"/>
    <col min="5638" max="5888" width="9.109375" style="251"/>
    <col min="5889" max="5889" width="4.44140625" style="251" customWidth="1"/>
    <col min="5890" max="5890" width="33.6640625" style="251" customWidth="1"/>
    <col min="5891" max="5891" width="22.5546875" style="251" customWidth="1"/>
    <col min="5892" max="5892" width="18" style="251" customWidth="1"/>
    <col min="5893" max="5893" width="0" style="251" hidden="1" customWidth="1"/>
    <col min="5894" max="6144" width="9.109375" style="251"/>
    <col min="6145" max="6145" width="4.44140625" style="251" customWidth="1"/>
    <col min="6146" max="6146" width="33.6640625" style="251" customWidth="1"/>
    <col min="6147" max="6147" width="22.5546875" style="251" customWidth="1"/>
    <col min="6148" max="6148" width="18" style="251" customWidth="1"/>
    <col min="6149" max="6149" width="0" style="251" hidden="1" customWidth="1"/>
    <col min="6150" max="6400" width="9.109375" style="251"/>
    <col min="6401" max="6401" width="4.44140625" style="251" customWidth="1"/>
    <col min="6402" max="6402" width="33.6640625" style="251" customWidth="1"/>
    <col min="6403" max="6403" width="22.5546875" style="251" customWidth="1"/>
    <col min="6404" max="6404" width="18" style="251" customWidth="1"/>
    <col min="6405" max="6405" width="0" style="251" hidden="1" customWidth="1"/>
    <col min="6406" max="6656" width="9.109375" style="251"/>
    <col min="6657" max="6657" width="4.44140625" style="251" customWidth="1"/>
    <col min="6658" max="6658" width="33.6640625" style="251" customWidth="1"/>
    <col min="6659" max="6659" width="22.5546875" style="251" customWidth="1"/>
    <col min="6660" max="6660" width="18" style="251" customWidth="1"/>
    <col min="6661" max="6661" width="0" style="251" hidden="1" customWidth="1"/>
    <col min="6662" max="6912" width="9.109375" style="251"/>
    <col min="6913" max="6913" width="4.44140625" style="251" customWidth="1"/>
    <col min="6914" max="6914" width="33.6640625" style="251" customWidth="1"/>
    <col min="6915" max="6915" width="22.5546875" style="251" customWidth="1"/>
    <col min="6916" max="6916" width="18" style="251" customWidth="1"/>
    <col min="6917" max="6917" width="0" style="251" hidden="1" customWidth="1"/>
    <col min="6918" max="7168" width="9.109375" style="251"/>
    <col min="7169" max="7169" width="4.44140625" style="251" customWidth="1"/>
    <col min="7170" max="7170" width="33.6640625" style="251" customWidth="1"/>
    <col min="7171" max="7171" width="22.5546875" style="251" customWidth="1"/>
    <col min="7172" max="7172" width="18" style="251" customWidth="1"/>
    <col min="7173" max="7173" width="0" style="251" hidden="1" customWidth="1"/>
    <col min="7174" max="7424" width="9.109375" style="251"/>
    <col min="7425" max="7425" width="4.44140625" style="251" customWidth="1"/>
    <col min="7426" max="7426" width="33.6640625" style="251" customWidth="1"/>
    <col min="7427" max="7427" width="22.5546875" style="251" customWidth="1"/>
    <col min="7428" max="7428" width="18" style="251" customWidth="1"/>
    <col min="7429" max="7429" width="0" style="251" hidden="1" customWidth="1"/>
    <col min="7430" max="7680" width="9.109375" style="251"/>
    <col min="7681" max="7681" width="4.44140625" style="251" customWidth="1"/>
    <col min="7682" max="7682" width="33.6640625" style="251" customWidth="1"/>
    <col min="7683" max="7683" width="22.5546875" style="251" customWidth="1"/>
    <col min="7684" max="7684" width="18" style="251" customWidth="1"/>
    <col min="7685" max="7685" width="0" style="251" hidden="1" customWidth="1"/>
    <col min="7686" max="7936" width="9.109375" style="251"/>
    <col min="7937" max="7937" width="4.44140625" style="251" customWidth="1"/>
    <col min="7938" max="7938" width="33.6640625" style="251" customWidth="1"/>
    <col min="7939" max="7939" width="22.5546875" style="251" customWidth="1"/>
    <col min="7940" max="7940" width="18" style="251" customWidth="1"/>
    <col min="7941" max="7941" width="0" style="251" hidden="1" customWidth="1"/>
    <col min="7942" max="8192" width="9.109375" style="251"/>
    <col min="8193" max="8193" width="4.44140625" style="251" customWidth="1"/>
    <col min="8194" max="8194" width="33.6640625" style="251" customWidth="1"/>
    <col min="8195" max="8195" width="22.5546875" style="251" customWidth="1"/>
    <col min="8196" max="8196" width="18" style="251" customWidth="1"/>
    <col min="8197" max="8197" width="0" style="251" hidden="1" customWidth="1"/>
    <col min="8198" max="8448" width="9.109375" style="251"/>
    <col min="8449" max="8449" width="4.44140625" style="251" customWidth="1"/>
    <col min="8450" max="8450" width="33.6640625" style="251" customWidth="1"/>
    <col min="8451" max="8451" width="22.5546875" style="251" customWidth="1"/>
    <col min="8452" max="8452" width="18" style="251" customWidth="1"/>
    <col min="8453" max="8453" width="0" style="251" hidden="1" customWidth="1"/>
    <col min="8454" max="8704" width="9.109375" style="251"/>
    <col min="8705" max="8705" width="4.44140625" style="251" customWidth="1"/>
    <col min="8706" max="8706" width="33.6640625" style="251" customWidth="1"/>
    <col min="8707" max="8707" width="22.5546875" style="251" customWidth="1"/>
    <col min="8708" max="8708" width="18" style="251" customWidth="1"/>
    <col min="8709" max="8709" width="0" style="251" hidden="1" customWidth="1"/>
    <col min="8710" max="8960" width="9.109375" style="251"/>
    <col min="8961" max="8961" width="4.44140625" style="251" customWidth="1"/>
    <col min="8962" max="8962" width="33.6640625" style="251" customWidth="1"/>
    <col min="8963" max="8963" width="22.5546875" style="251" customWidth="1"/>
    <col min="8964" max="8964" width="18" style="251" customWidth="1"/>
    <col min="8965" max="8965" width="0" style="251" hidden="1" customWidth="1"/>
    <col min="8966" max="9216" width="9.109375" style="251"/>
    <col min="9217" max="9217" width="4.44140625" style="251" customWidth="1"/>
    <col min="9218" max="9218" width="33.6640625" style="251" customWidth="1"/>
    <col min="9219" max="9219" width="22.5546875" style="251" customWidth="1"/>
    <col min="9220" max="9220" width="18" style="251" customWidth="1"/>
    <col min="9221" max="9221" width="0" style="251" hidden="1" customWidth="1"/>
    <col min="9222" max="9472" width="9.109375" style="251"/>
    <col min="9473" max="9473" width="4.44140625" style="251" customWidth="1"/>
    <col min="9474" max="9474" width="33.6640625" style="251" customWidth="1"/>
    <col min="9475" max="9475" width="22.5546875" style="251" customWidth="1"/>
    <col min="9476" max="9476" width="18" style="251" customWidth="1"/>
    <col min="9477" max="9477" width="0" style="251" hidden="1" customWidth="1"/>
    <col min="9478" max="9728" width="9.109375" style="251"/>
    <col min="9729" max="9729" width="4.44140625" style="251" customWidth="1"/>
    <col min="9730" max="9730" width="33.6640625" style="251" customWidth="1"/>
    <col min="9731" max="9731" width="22.5546875" style="251" customWidth="1"/>
    <col min="9732" max="9732" width="18" style="251" customWidth="1"/>
    <col min="9733" max="9733" width="0" style="251" hidden="1" customWidth="1"/>
    <col min="9734" max="9984" width="9.109375" style="251"/>
    <col min="9985" max="9985" width="4.44140625" style="251" customWidth="1"/>
    <col min="9986" max="9986" width="33.6640625" style="251" customWidth="1"/>
    <col min="9987" max="9987" width="22.5546875" style="251" customWidth="1"/>
    <col min="9988" max="9988" width="18" style="251" customWidth="1"/>
    <col min="9989" max="9989" width="0" style="251" hidden="1" customWidth="1"/>
    <col min="9990" max="10240" width="9.109375" style="251"/>
    <col min="10241" max="10241" width="4.44140625" style="251" customWidth="1"/>
    <col min="10242" max="10242" width="33.6640625" style="251" customWidth="1"/>
    <col min="10243" max="10243" width="22.5546875" style="251" customWidth="1"/>
    <col min="10244" max="10244" width="18" style="251" customWidth="1"/>
    <col min="10245" max="10245" width="0" style="251" hidden="1" customWidth="1"/>
    <col min="10246" max="10496" width="9.109375" style="251"/>
    <col min="10497" max="10497" width="4.44140625" style="251" customWidth="1"/>
    <col min="10498" max="10498" width="33.6640625" style="251" customWidth="1"/>
    <col min="10499" max="10499" width="22.5546875" style="251" customWidth="1"/>
    <col min="10500" max="10500" width="18" style="251" customWidth="1"/>
    <col min="10501" max="10501" width="0" style="251" hidden="1" customWidth="1"/>
    <col min="10502" max="10752" width="9.109375" style="251"/>
    <col min="10753" max="10753" width="4.44140625" style="251" customWidth="1"/>
    <col min="10754" max="10754" width="33.6640625" style="251" customWidth="1"/>
    <col min="10755" max="10755" width="22.5546875" style="251" customWidth="1"/>
    <col min="10756" max="10756" width="18" style="251" customWidth="1"/>
    <col min="10757" max="10757" width="0" style="251" hidden="1" customWidth="1"/>
    <col min="10758" max="11008" width="9.109375" style="251"/>
    <col min="11009" max="11009" width="4.44140625" style="251" customWidth="1"/>
    <col min="11010" max="11010" width="33.6640625" style="251" customWidth="1"/>
    <col min="11011" max="11011" width="22.5546875" style="251" customWidth="1"/>
    <col min="11012" max="11012" width="18" style="251" customWidth="1"/>
    <col min="11013" max="11013" width="0" style="251" hidden="1" customWidth="1"/>
    <col min="11014" max="11264" width="9.109375" style="251"/>
    <col min="11265" max="11265" width="4.44140625" style="251" customWidth="1"/>
    <col min="11266" max="11266" width="33.6640625" style="251" customWidth="1"/>
    <col min="11267" max="11267" width="22.5546875" style="251" customWidth="1"/>
    <col min="11268" max="11268" width="18" style="251" customWidth="1"/>
    <col min="11269" max="11269" width="0" style="251" hidden="1" customWidth="1"/>
    <col min="11270" max="11520" width="9.109375" style="251"/>
    <col min="11521" max="11521" width="4.44140625" style="251" customWidth="1"/>
    <col min="11522" max="11522" width="33.6640625" style="251" customWidth="1"/>
    <col min="11523" max="11523" width="22.5546875" style="251" customWidth="1"/>
    <col min="11524" max="11524" width="18" style="251" customWidth="1"/>
    <col min="11525" max="11525" width="0" style="251" hidden="1" customWidth="1"/>
    <col min="11526" max="11776" width="9.109375" style="251"/>
    <col min="11777" max="11777" width="4.44140625" style="251" customWidth="1"/>
    <col min="11778" max="11778" width="33.6640625" style="251" customWidth="1"/>
    <col min="11779" max="11779" width="22.5546875" style="251" customWidth="1"/>
    <col min="11780" max="11780" width="18" style="251" customWidth="1"/>
    <col min="11781" max="11781" width="0" style="251" hidden="1" customWidth="1"/>
    <col min="11782" max="12032" width="9.109375" style="251"/>
    <col min="12033" max="12033" width="4.44140625" style="251" customWidth="1"/>
    <col min="12034" max="12034" width="33.6640625" style="251" customWidth="1"/>
    <col min="12035" max="12035" width="22.5546875" style="251" customWidth="1"/>
    <col min="12036" max="12036" width="18" style="251" customWidth="1"/>
    <col min="12037" max="12037" width="0" style="251" hidden="1" customWidth="1"/>
    <col min="12038" max="12288" width="9.109375" style="251"/>
    <col min="12289" max="12289" width="4.44140625" style="251" customWidth="1"/>
    <col min="12290" max="12290" width="33.6640625" style="251" customWidth="1"/>
    <col min="12291" max="12291" width="22.5546875" style="251" customWidth="1"/>
    <col min="12292" max="12292" width="18" style="251" customWidth="1"/>
    <col min="12293" max="12293" width="0" style="251" hidden="1" customWidth="1"/>
    <col min="12294" max="12544" width="9.109375" style="251"/>
    <col min="12545" max="12545" width="4.44140625" style="251" customWidth="1"/>
    <col min="12546" max="12546" width="33.6640625" style="251" customWidth="1"/>
    <col min="12547" max="12547" width="22.5546875" style="251" customWidth="1"/>
    <col min="12548" max="12548" width="18" style="251" customWidth="1"/>
    <col min="12549" max="12549" width="0" style="251" hidden="1" customWidth="1"/>
    <col min="12550" max="12800" width="9.109375" style="251"/>
    <col min="12801" max="12801" width="4.44140625" style="251" customWidth="1"/>
    <col min="12802" max="12802" width="33.6640625" style="251" customWidth="1"/>
    <col min="12803" max="12803" width="22.5546875" style="251" customWidth="1"/>
    <col min="12804" max="12804" width="18" style="251" customWidth="1"/>
    <col min="12805" max="12805" width="0" style="251" hidden="1" customWidth="1"/>
    <col min="12806" max="13056" width="9.109375" style="251"/>
    <col min="13057" max="13057" width="4.44140625" style="251" customWidth="1"/>
    <col min="13058" max="13058" width="33.6640625" style="251" customWidth="1"/>
    <col min="13059" max="13059" width="22.5546875" style="251" customWidth="1"/>
    <col min="13060" max="13060" width="18" style="251" customWidth="1"/>
    <col min="13061" max="13061" width="0" style="251" hidden="1" customWidth="1"/>
    <col min="13062" max="13312" width="9.109375" style="251"/>
    <col min="13313" max="13313" width="4.44140625" style="251" customWidth="1"/>
    <col min="13314" max="13314" width="33.6640625" style="251" customWidth="1"/>
    <col min="13315" max="13315" width="22.5546875" style="251" customWidth="1"/>
    <col min="13316" max="13316" width="18" style="251" customWidth="1"/>
    <col min="13317" max="13317" width="0" style="251" hidden="1" customWidth="1"/>
    <col min="13318" max="13568" width="9.109375" style="251"/>
    <col min="13569" max="13569" width="4.44140625" style="251" customWidth="1"/>
    <col min="13570" max="13570" width="33.6640625" style="251" customWidth="1"/>
    <col min="13571" max="13571" width="22.5546875" style="251" customWidth="1"/>
    <col min="13572" max="13572" width="18" style="251" customWidth="1"/>
    <col min="13573" max="13573" width="0" style="251" hidden="1" customWidth="1"/>
    <col min="13574" max="13824" width="9.109375" style="251"/>
    <col min="13825" max="13825" width="4.44140625" style="251" customWidth="1"/>
    <col min="13826" max="13826" width="33.6640625" style="251" customWidth="1"/>
    <col min="13827" max="13827" width="22.5546875" style="251" customWidth="1"/>
    <col min="13828" max="13828" width="18" style="251" customWidth="1"/>
    <col min="13829" max="13829" width="0" style="251" hidden="1" customWidth="1"/>
    <col min="13830" max="14080" width="9.109375" style="251"/>
    <col min="14081" max="14081" width="4.44140625" style="251" customWidth="1"/>
    <col min="14082" max="14082" width="33.6640625" style="251" customWidth="1"/>
    <col min="14083" max="14083" width="22.5546875" style="251" customWidth="1"/>
    <col min="14084" max="14084" width="18" style="251" customWidth="1"/>
    <col min="14085" max="14085" width="0" style="251" hidden="1" customWidth="1"/>
    <col min="14086" max="14336" width="9.109375" style="251"/>
    <col min="14337" max="14337" width="4.44140625" style="251" customWidth="1"/>
    <col min="14338" max="14338" width="33.6640625" style="251" customWidth="1"/>
    <col min="14339" max="14339" width="22.5546875" style="251" customWidth="1"/>
    <col min="14340" max="14340" width="18" style="251" customWidth="1"/>
    <col min="14341" max="14341" width="0" style="251" hidden="1" customWidth="1"/>
    <col min="14342" max="14592" width="9.109375" style="251"/>
    <col min="14593" max="14593" width="4.44140625" style="251" customWidth="1"/>
    <col min="14594" max="14594" width="33.6640625" style="251" customWidth="1"/>
    <col min="14595" max="14595" width="22.5546875" style="251" customWidth="1"/>
    <col min="14596" max="14596" width="18" style="251" customWidth="1"/>
    <col min="14597" max="14597" width="0" style="251" hidden="1" customWidth="1"/>
    <col min="14598" max="14848" width="9.109375" style="251"/>
    <col min="14849" max="14849" width="4.44140625" style="251" customWidth="1"/>
    <col min="14850" max="14850" width="33.6640625" style="251" customWidth="1"/>
    <col min="14851" max="14851" width="22.5546875" style="251" customWidth="1"/>
    <col min="14852" max="14852" width="18" style="251" customWidth="1"/>
    <col min="14853" max="14853" width="0" style="251" hidden="1" customWidth="1"/>
    <col min="14854" max="15104" width="9.109375" style="251"/>
    <col min="15105" max="15105" width="4.44140625" style="251" customWidth="1"/>
    <col min="15106" max="15106" width="33.6640625" style="251" customWidth="1"/>
    <col min="15107" max="15107" width="22.5546875" style="251" customWidth="1"/>
    <col min="15108" max="15108" width="18" style="251" customWidth="1"/>
    <col min="15109" max="15109" width="0" style="251" hidden="1" customWidth="1"/>
    <col min="15110" max="15360" width="9.109375" style="251"/>
    <col min="15361" max="15361" width="4.44140625" style="251" customWidth="1"/>
    <col min="15362" max="15362" width="33.6640625" style="251" customWidth="1"/>
    <col min="15363" max="15363" width="22.5546875" style="251" customWidth="1"/>
    <col min="15364" max="15364" width="18" style="251" customWidth="1"/>
    <col min="15365" max="15365" width="0" style="251" hidden="1" customWidth="1"/>
    <col min="15366" max="15616" width="9.109375" style="251"/>
    <col min="15617" max="15617" width="4.44140625" style="251" customWidth="1"/>
    <col min="15618" max="15618" width="33.6640625" style="251" customWidth="1"/>
    <col min="15619" max="15619" width="22.5546875" style="251" customWidth="1"/>
    <col min="15620" max="15620" width="18" style="251" customWidth="1"/>
    <col min="15621" max="15621" width="0" style="251" hidden="1" customWidth="1"/>
    <col min="15622" max="15872" width="9.109375" style="251"/>
    <col min="15873" max="15873" width="4.44140625" style="251" customWidth="1"/>
    <col min="15874" max="15874" width="33.6640625" style="251" customWidth="1"/>
    <col min="15875" max="15875" width="22.5546875" style="251" customWidth="1"/>
    <col min="15876" max="15876" width="18" style="251" customWidth="1"/>
    <col min="15877" max="15877" width="0" style="251" hidden="1" customWidth="1"/>
    <col min="15878" max="16128" width="9.109375" style="251"/>
    <col min="16129" max="16129" width="4.44140625" style="251" customWidth="1"/>
    <col min="16130" max="16130" width="33.6640625" style="251" customWidth="1"/>
    <col min="16131" max="16131" width="22.5546875" style="251" customWidth="1"/>
    <col min="16132" max="16132" width="18" style="251" customWidth="1"/>
    <col min="16133" max="16133" width="0" style="251" hidden="1" customWidth="1"/>
    <col min="16134" max="16384" width="9.109375" style="251"/>
  </cols>
  <sheetData>
    <row r="1" spans="1:6" ht="36.75" customHeight="1">
      <c r="A1" s="1077" t="s">
        <v>2187</v>
      </c>
      <c r="B1" s="1077"/>
      <c r="C1" s="1077"/>
      <c r="D1" s="1077"/>
      <c r="E1" s="378"/>
      <c r="F1" s="378"/>
    </row>
    <row r="2" spans="1:6" ht="12.75" customHeight="1" thickBot="1">
      <c r="A2" s="1078"/>
      <c r="B2" s="1078"/>
      <c r="C2" s="1078"/>
      <c r="D2" s="1078"/>
    </row>
    <row r="3" spans="1:6" ht="13.8" thickBot="1">
      <c r="A3" s="387" t="s">
        <v>2188</v>
      </c>
      <c r="B3" s="388" t="s">
        <v>1576</v>
      </c>
      <c r="C3" s="388" t="s">
        <v>1577</v>
      </c>
      <c r="D3" s="389" t="s">
        <v>1128</v>
      </c>
      <c r="E3" s="379" t="s">
        <v>1128</v>
      </c>
    </row>
    <row r="4" spans="1:6" ht="12.75" customHeight="1">
      <c r="A4" s="1039" t="s">
        <v>2189</v>
      </c>
      <c r="B4" s="380" t="s">
        <v>2190</v>
      </c>
      <c r="C4" s="380" t="s">
        <v>1581</v>
      </c>
      <c r="D4" s="381">
        <f>E4/1000</f>
        <v>16992</v>
      </c>
      <c r="E4" s="382">
        <v>16992000</v>
      </c>
    </row>
    <row r="5" spans="1:6" ht="12.75" customHeight="1">
      <c r="A5" s="1041"/>
      <c r="B5" s="257" t="s">
        <v>2191</v>
      </c>
      <c r="C5" s="257" t="s">
        <v>1581</v>
      </c>
      <c r="D5" s="383">
        <f t="shared" ref="D5:D68" si="0">E5/1000</f>
        <v>4116</v>
      </c>
      <c r="E5" s="384">
        <v>4116000</v>
      </c>
    </row>
    <row r="6" spans="1:6" ht="12.75" customHeight="1">
      <c r="A6" s="1041"/>
      <c r="B6" s="257" t="s">
        <v>2192</v>
      </c>
      <c r="C6" s="257" t="s">
        <v>1581</v>
      </c>
      <c r="D6" s="383">
        <f t="shared" si="0"/>
        <v>3236</v>
      </c>
      <c r="E6" s="384">
        <v>3236000</v>
      </c>
    </row>
    <row r="7" spans="1:6" ht="12.75" customHeight="1">
      <c r="A7" s="1041"/>
      <c r="B7" s="257" t="s">
        <v>2193</v>
      </c>
      <c r="C7" s="257" t="s">
        <v>1581</v>
      </c>
      <c r="D7" s="383">
        <f t="shared" si="0"/>
        <v>2779</v>
      </c>
      <c r="E7" s="384">
        <v>2779000</v>
      </c>
    </row>
    <row r="8" spans="1:6" ht="12.75" customHeight="1">
      <c r="A8" s="1041"/>
      <c r="B8" s="257" t="s">
        <v>2194</v>
      </c>
      <c r="C8" s="257" t="s">
        <v>1581</v>
      </c>
      <c r="D8" s="383">
        <f t="shared" si="0"/>
        <v>6106</v>
      </c>
      <c r="E8" s="384">
        <v>6106000</v>
      </c>
    </row>
    <row r="9" spans="1:6" ht="12.75" customHeight="1">
      <c r="A9" s="1041"/>
      <c r="B9" s="257" t="s">
        <v>2195</v>
      </c>
      <c r="C9" s="257" t="s">
        <v>1581</v>
      </c>
      <c r="D9" s="383">
        <f t="shared" si="0"/>
        <v>1284</v>
      </c>
      <c r="E9" s="384">
        <v>1284000</v>
      </c>
    </row>
    <row r="10" spans="1:6" ht="12.75" customHeight="1">
      <c r="A10" s="1041"/>
      <c r="B10" s="257" t="s">
        <v>2196</v>
      </c>
      <c r="C10" s="257" t="s">
        <v>1581</v>
      </c>
      <c r="D10" s="383">
        <f t="shared" si="0"/>
        <v>1943</v>
      </c>
      <c r="E10" s="384">
        <v>1943000</v>
      </c>
    </row>
    <row r="11" spans="1:6" ht="12.75" customHeight="1">
      <c r="A11" s="1041"/>
      <c r="B11" s="257" t="s">
        <v>2197</v>
      </c>
      <c r="C11" s="257" t="s">
        <v>1581</v>
      </c>
      <c r="D11" s="383">
        <f t="shared" si="0"/>
        <v>1161</v>
      </c>
      <c r="E11" s="384">
        <v>1161000</v>
      </c>
    </row>
    <row r="12" spans="1:6" ht="12.75" customHeight="1">
      <c r="A12" s="1041"/>
      <c r="B12" s="257" t="s">
        <v>2198</v>
      </c>
      <c r="C12" s="257" t="s">
        <v>1581</v>
      </c>
      <c r="D12" s="383">
        <f t="shared" si="0"/>
        <v>13363</v>
      </c>
      <c r="E12" s="384">
        <v>13363000</v>
      </c>
    </row>
    <row r="13" spans="1:6" ht="12.75" customHeight="1">
      <c r="A13" s="1041"/>
      <c r="B13" s="257" t="s">
        <v>2199</v>
      </c>
      <c r="C13" s="257" t="s">
        <v>1581</v>
      </c>
      <c r="D13" s="383">
        <f t="shared" si="0"/>
        <v>913</v>
      </c>
      <c r="E13" s="384">
        <v>913000</v>
      </c>
    </row>
    <row r="14" spans="1:6" ht="12.75" customHeight="1">
      <c r="A14" s="1043" t="s">
        <v>2200</v>
      </c>
      <c r="B14" s="257" t="s">
        <v>2201</v>
      </c>
      <c r="C14" s="257" t="s">
        <v>1581</v>
      </c>
      <c r="D14" s="383">
        <f t="shared" si="0"/>
        <v>25801</v>
      </c>
      <c r="E14" s="384">
        <v>25801000</v>
      </c>
    </row>
    <row r="15" spans="1:6" ht="12.75" customHeight="1">
      <c r="A15" s="1047"/>
      <c r="B15" s="257" t="s">
        <v>2202</v>
      </c>
      <c r="C15" s="257" t="s">
        <v>1581</v>
      </c>
      <c r="D15" s="383">
        <f t="shared" si="0"/>
        <v>16768</v>
      </c>
      <c r="E15" s="384">
        <v>16768000</v>
      </c>
    </row>
    <row r="16" spans="1:6" ht="12.75" customHeight="1">
      <c r="A16" s="1047"/>
      <c r="B16" s="257" t="s">
        <v>2203</v>
      </c>
      <c r="C16" s="257" t="s">
        <v>1581</v>
      </c>
      <c r="D16" s="383">
        <f t="shared" si="0"/>
        <v>13373</v>
      </c>
      <c r="E16" s="384">
        <v>13373000</v>
      </c>
    </row>
    <row r="17" spans="1:5" ht="12.75" customHeight="1">
      <c r="A17" s="1047"/>
      <c r="B17" s="257" t="s">
        <v>2204</v>
      </c>
      <c r="C17" s="257" t="s">
        <v>1581</v>
      </c>
      <c r="D17" s="383">
        <f t="shared" si="0"/>
        <v>5123</v>
      </c>
      <c r="E17" s="384">
        <v>5123000</v>
      </c>
    </row>
    <row r="18" spans="1:5" ht="12.75" customHeight="1">
      <c r="A18" s="1047"/>
      <c r="B18" s="257" t="s">
        <v>2205</v>
      </c>
      <c r="C18" s="257" t="s">
        <v>1581</v>
      </c>
      <c r="D18" s="383">
        <f t="shared" si="0"/>
        <v>10668</v>
      </c>
      <c r="E18" s="384">
        <v>10668000</v>
      </c>
    </row>
    <row r="19" spans="1:5" ht="12.75" customHeight="1">
      <c r="A19" s="1047"/>
      <c r="B19" s="257" t="s">
        <v>2206</v>
      </c>
      <c r="C19" s="257" t="s">
        <v>1581</v>
      </c>
      <c r="D19" s="383">
        <f t="shared" si="0"/>
        <v>882</v>
      </c>
      <c r="E19" s="384">
        <v>882000</v>
      </c>
    </row>
    <row r="20" spans="1:5" ht="12.75" customHeight="1">
      <c r="A20" s="1047"/>
      <c r="B20" s="257" t="s">
        <v>2207</v>
      </c>
      <c r="C20" s="257" t="s">
        <v>1581</v>
      </c>
      <c r="D20" s="383">
        <f t="shared" si="0"/>
        <v>8576</v>
      </c>
      <c r="E20" s="384">
        <v>8576000</v>
      </c>
    </row>
    <row r="21" spans="1:5" ht="12.75" customHeight="1">
      <c r="A21" s="1047"/>
      <c r="B21" s="257" t="s">
        <v>2208</v>
      </c>
      <c r="C21" s="257" t="s">
        <v>1581</v>
      </c>
      <c r="D21" s="383">
        <f t="shared" si="0"/>
        <v>856</v>
      </c>
      <c r="E21" s="384">
        <v>856000</v>
      </c>
    </row>
    <row r="22" spans="1:5" ht="12.75" customHeight="1">
      <c r="A22" s="1047"/>
      <c r="B22" s="257" t="s">
        <v>2209</v>
      </c>
      <c r="C22" s="257" t="s">
        <v>1581</v>
      </c>
      <c r="D22" s="383">
        <f t="shared" si="0"/>
        <v>1448</v>
      </c>
      <c r="E22" s="384">
        <v>1448000</v>
      </c>
    </row>
    <row r="23" spans="1:5" ht="12.75" customHeight="1">
      <c r="A23" s="1047"/>
      <c r="B23" s="257" t="s">
        <v>2210</v>
      </c>
      <c r="C23" s="257" t="s">
        <v>1581</v>
      </c>
      <c r="D23" s="383">
        <f t="shared" si="0"/>
        <v>827</v>
      </c>
      <c r="E23" s="384">
        <v>827000</v>
      </c>
    </row>
    <row r="24" spans="1:5" ht="12.75" customHeight="1">
      <c r="A24" s="1047"/>
      <c r="B24" s="257" t="s">
        <v>2211</v>
      </c>
      <c r="C24" s="257" t="s">
        <v>1581</v>
      </c>
      <c r="D24" s="383">
        <f t="shared" si="0"/>
        <v>5616</v>
      </c>
      <c r="E24" s="384">
        <v>5616000</v>
      </c>
    </row>
    <row r="25" spans="1:5" ht="12.75" customHeight="1">
      <c r="A25" s="1047"/>
      <c r="B25" s="257" t="s">
        <v>2212</v>
      </c>
      <c r="C25" s="257" t="s">
        <v>1581</v>
      </c>
      <c r="D25" s="383">
        <f t="shared" si="0"/>
        <v>2207</v>
      </c>
      <c r="E25" s="384">
        <v>2207000</v>
      </c>
    </row>
    <row r="26" spans="1:5" ht="12.75" customHeight="1">
      <c r="A26" s="1047"/>
      <c r="B26" s="257" t="s">
        <v>2213</v>
      </c>
      <c r="C26" s="257" t="s">
        <v>1581</v>
      </c>
      <c r="D26" s="383">
        <f t="shared" si="0"/>
        <v>2480</v>
      </c>
      <c r="E26" s="384">
        <v>2480000</v>
      </c>
    </row>
    <row r="27" spans="1:5" ht="12.75" customHeight="1">
      <c r="A27" s="1047"/>
      <c r="B27" s="257" t="s">
        <v>2214</v>
      </c>
      <c r="C27" s="257" t="s">
        <v>1581</v>
      </c>
      <c r="D27" s="383">
        <f t="shared" si="0"/>
        <v>889</v>
      </c>
      <c r="E27" s="384">
        <v>889000</v>
      </c>
    </row>
    <row r="28" spans="1:5" ht="12.75" customHeight="1">
      <c r="A28" s="1047"/>
      <c r="B28" s="257" t="s">
        <v>2215</v>
      </c>
      <c r="C28" s="257" t="s">
        <v>1581</v>
      </c>
      <c r="D28" s="383">
        <f t="shared" si="0"/>
        <v>18501</v>
      </c>
      <c r="E28" s="384">
        <v>18501000</v>
      </c>
    </row>
    <row r="29" spans="1:5" ht="12.75" customHeight="1">
      <c r="A29" s="1047"/>
      <c r="B29" s="257" t="s">
        <v>2216</v>
      </c>
      <c r="C29" s="257" t="s">
        <v>1581</v>
      </c>
      <c r="D29" s="383">
        <f t="shared" si="0"/>
        <v>2080</v>
      </c>
      <c r="E29" s="384">
        <v>2080000</v>
      </c>
    </row>
    <row r="30" spans="1:5" ht="12.75" customHeight="1">
      <c r="A30" s="1047"/>
      <c r="B30" s="257" t="s">
        <v>2217</v>
      </c>
      <c r="C30" s="257" t="s">
        <v>1581</v>
      </c>
      <c r="D30" s="383">
        <f t="shared" si="0"/>
        <v>3108</v>
      </c>
      <c r="E30" s="384">
        <v>3108000</v>
      </c>
    </row>
    <row r="31" spans="1:5" ht="12.75" customHeight="1">
      <c r="A31" s="1047"/>
      <c r="B31" s="257" t="s">
        <v>2218</v>
      </c>
      <c r="C31" s="257" t="s">
        <v>1581</v>
      </c>
      <c r="D31" s="383">
        <f t="shared" si="0"/>
        <v>3455</v>
      </c>
      <c r="E31" s="384">
        <v>3455000</v>
      </c>
    </row>
    <row r="32" spans="1:5" ht="12.75" customHeight="1">
      <c r="A32" s="1047"/>
      <c r="B32" s="257" t="s">
        <v>2219</v>
      </c>
      <c r="C32" s="257" t="s">
        <v>1581</v>
      </c>
      <c r="D32" s="383">
        <f t="shared" si="0"/>
        <v>4282</v>
      </c>
      <c r="E32" s="384">
        <v>4282000</v>
      </c>
    </row>
    <row r="33" spans="1:5" ht="12.75" customHeight="1">
      <c r="A33" s="1047"/>
      <c r="B33" s="257" t="s">
        <v>2220</v>
      </c>
      <c r="C33" s="257" t="s">
        <v>1581</v>
      </c>
      <c r="D33" s="383">
        <f t="shared" si="0"/>
        <v>10841</v>
      </c>
      <c r="E33" s="384">
        <v>10841000</v>
      </c>
    </row>
    <row r="34" spans="1:5" ht="12.75" customHeight="1">
      <c r="A34" s="1047"/>
      <c r="B34" s="257" t="s">
        <v>2221</v>
      </c>
      <c r="C34" s="257" t="s">
        <v>1581</v>
      </c>
      <c r="D34" s="383">
        <f t="shared" si="0"/>
        <v>8613</v>
      </c>
      <c r="E34" s="384">
        <v>8613000</v>
      </c>
    </row>
    <row r="35" spans="1:5" ht="12.75" customHeight="1">
      <c r="A35" s="1047"/>
      <c r="B35" s="257" t="s">
        <v>2222</v>
      </c>
      <c r="C35" s="257" t="s">
        <v>1581</v>
      </c>
      <c r="D35" s="383">
        <f t="shared" si="0"/>
        <v>2502</v>
      </c>
      <c r="E35" s="384">
        <v>2502000</v>
      </c>
    </row>
    <row r="36" spans="1:5" ht="12.75" customHeight="1">
      <c r="A36" s="1047"/>
      <c r="B36" s="257" t="s">
        <v>2223</v>
      </c>
      <c r="C36" s="257" t="s">
        <v>1581</v>
      </c>
      <c r="D36" s="383">
        <f t="shared" si="0"/>
        <v>2825</v>
      </c>
      <c r="E36" s="384">
        <v>2825000</v>
      </c>
    </row>
    <row r="37" spans="1:5" ht="12.75" customHeight="1">
      <c r="A37" s="1047"/>
      <c r="B37" s="257" t="s">
        <v>2224</v>
      </c>
      <c r="C37" s="257" t="s">
        <v>1581</v>
      </c>
      <c r="D37" s="383">
        <f t="shared" si="0"/>
        <v>1908</v>
      </c>
      <c r="E37" s="384">
        <v>1908000</v>
      </c>
    </row>
    <row r="38" spans="1:5" ht="12.75" customHeight="1">
      <c r="A38" s="1047"/>
      <c r="B38" s="257" t="s">
        <v>2225</v>
      </c>
      <c r="C38" s="257" t="s">
        <v>1581</v>
      </c>
      <c r="D38" s="383">
        <f t="shared" si="0"/>
        <v>1117</v>
      </c>
      <c r="E38" s="384">
        <v>1117000</v>
      </c>
    </row>
    <row r="39" spans="1:5" ht="12.75" customHeight="1">
      <c r="A39" s="1047"/>
      <c r="B39" s="257" t="s">
        <v>2226</v>
      </c>
      <c r="C39" s="257" t="s">
        <v>1581</v>
      </c>
      <c r="D39" s="383">
        <f t="shared" si="0"/>
        <v>2460</v>
      </c>
      <c r="E39" s="384">
        <v>2460000</v>
      </c>
    </row>
    <row r="40" spans="1:5" ht="12.75" customHeight="1">
      <c r="A40" s="1047"/>
      <c r="B40" s="257" t="s">
        <v>2227</v>
      </c>
      <c r="C40" s="257" t="s">
        <v>1581</v>
      </c>
      <c r="D40" s="383">
        <f t="shared" si="0"/>
        <v>7366</v>
      </c>
      <c r="E40" s="384">
        <v>7366000</v>
      </c>
    </row>
    <row r="41" spans="1:5" ht="12.75" customHeight="1">
      <c r="A41" s="1047"/>
      <c r="B41" s="257" t="s">
        <v>2228</v>
      </c>
      <c r="C41" s="257" t="s">
        <v>1581</v>
      </c>
      <c r="D41" s="383">
        <f t="shared" si="0"/>
        <v>1739</v>
      </c>
      <c r="E41" s="384">
        <v>1739000</v>
      </c>
    </row>
    <row r="42" spans="1:5" ht="12.75" customHeight="1">
      <c r="A42" s="1047"/>
      <c r="B42" s="257" t="s">
        <v>2229</v>
      </c>
      <c r="C42" s="257" t="s">
        <v>1581</v>
      </c>
      <c r="D42" s="383">
        <f t="shared" si="0"/>
        <v>923</v>
      </c>
      <c r="E42" s="384">
        <v>923000</v>
      </c>
    </row>
    <row r="43" spans="1:5" ht="12.75" customHeight="1">
      <c r="A43" s="1047"/>
      <c r="B43" s="257" t="s">
        <v>2230</v>
      </c>
      <c r="C43" s="257" t="s">
        <v>1581</v>
      </c>
      <c r="D43" s="383">
        <f t="shared" si="0"/>
        <v>862</v>
      </c>
      <c r="E43" s="384">
        <v>862000</v>
      </c>
    </row>
    <row r="44" spans="1:5" ht="12.75" customHeight="1">
      <c r="A44" s="1047"/>
      <c r="B44" s="257" t="s">
        <v>2231</v>
      </c>
      <c r="C44" s="257" t="s">
        <v>1581</v>
      </c>
      <c r="D44" s="383">
        <f t="shared" si="0"/>
        <v>9736</v>
      </c>
      <c r="E44" s="384">
        <v>9736000</v>
      </c>
    </row>
    <row r="45" spans="1:5" ht="12.75" customHeight="1">
      <c r="A45" s="1047"/>
      <c r="B45" s="257" t="s">
        <v>2232</v>
      </c>
      <c r="C45" s="257" t="s">
        <v>1581</v>
      </c>
      <c r="D45" s="383">
        <f t="shared" si="0"/>
        <v>2576</v>
      </c>
      <c r="E45" s="384">
        <v>2576000</v>
      </c>
    </row>
    <row r="46" spans="1:5" ht="12.75" customHeight="1">
      <c r="A46" s="1047"/>
      <c r="B46" s="257" t="s">
        <v>2233</v>
      </c>
      <c r="C46" s="257" t="s">
        <v>1581</v>
      </c>
      <c r="D46" s="383">
        <f t="shared" si="0"/>
        <v>3419</v>
      </c>
      <c r="E46" s="384">
        <v>3419000</v>
      </c>
    </row>
    <row r="47" spans="1:5" ht="12.75" customHeight="1">
      <c r="A47" s="1047"/>
      <c r="B47" s="257" t="s">
        <v>2234</v>
      </c>
      <c r="C47" s="257" t="s">
        <v>1581</v>
      </c>
      <c r="D47" s="383">
        <f t="shared" si="0"/>
        <v>4132</v>
      </c>
      <c r="E47" s="384">
        <v>4132000</v>
      </c>
    </row>
    <row r="48" spans="1:5" ht="12.75" customHeight="1">
      <c r="A48" s="1047"/>
      <c r="B48" s="257" t="s">
        <v>2235</v>
      </c>
      <c r="C48" s="257" t="s">
        <v>1581</v>
      </c>
      <c r="D48" s="383">
        <f t="shared" si="0"/>
        <v>679</v>
      </c>
      <c r="E48" s="384">
        <v>679000</v>
      </c>
    </row>
    <row r="49" spans="1:5" ht="12.75" customHeight="1">
      <c r="A49" s="1047"/>
      <c r="B49" s="257" t="s">
        <v>2236</v>
      </c>
      <c r="C49" s="257" t="s">
        <v>1581</v>
      </c>
      <c r="D49" s="383">
        <f t="shared" si="0"/>
        <v>1860</v>
      </c>
      <c r="E49" s="384">
        <v>1860000</v>
      </c>
    </row>
    <row r="50" spans="1:5" ht="12.75" customHeight="1">
      <c r="A50" s="1047"/>
      <c r="B50" s="257" t="s">
        <v>2237</v>
      </c>
      <c r="C50" s="257" t="s">
        <v>1581</v>
      </c>
      <c r="D50" s="383">
        <f t="shared" si="0"/>
        <v>805</v>
      </c>
      <c r="E50" s="384">
        <v>805000</v>
      </c>
    </row>
    <row r="51" spans="1:5" ht="12.75" customHeight="1">
      <c r="A51" s="1047"/>
      <c r="B51" s="257" t="s">
        <v>2238</v>
      </c>
      <c r="C51" s="257" t="s">
        <v>1581</v>
      </c>
      <c r="D51" s="383">
        <f t="shared" si="0"/>
        <v>1596</v>
      </c>
      <c r="E51" s="384">
        <v>1596000</v>
      </c>
    </row>
    <row r="52" spans="1:5" ht="12.75" customHeight="1">
      <c r="A52" s="1047"/>
      <c r="B52" s="257" t="s">
        <v>2239</v>
      </c>
      <c r="C52" s="257" t="s">
        <v>1581</v>
      </c>
      <c r="D52" s="383">
        <f t="shared" si="0"/>
        <v>1123</v>
      </c>
      <c r="E52" s="384">
        <v>1123000</v>
      </c>
    </row>
    <row r="53" spans="1:5" ht="12.75" customHeight="1">
      <c r="A53" s="1039"/>
      <c r="B53" s="257" t="s">
        <v>2240</v>
      </c>
      <c r="C53" s="257" t="s">
        <v>1581</v>
      </c>
      <c r="D53" s="383">
        <f t="shared" si="0"/>
        <v>1097</v>
      </c>
      <c r="E53" s="384">
        <v>1097000</v>
      </c>
    </row>
    <row r="54" spans="1:5" ht="12.75" customHeight="1">
      <c r="A54" s="1043" t="s">
        <v>2241</v>
      </c>
      <c r="B54" s="257" t="s">
        <v>2242</v>
      </c>
      <c r="C54" s="257" t="s">
        <v>1581</v>
      </c>
      <c r="D54" s="383">
        <f t="shared" si="0"/>
        <v>12062</v>
      </c>
      <c r="E54" s="384">
        <v>12062000</v>
      </c>
    </row>
    <row r="55" spans="1:5" ht="12.75" customHeight="1">
      <c r="A55" s="1047"/>
      <c r="B55" s="257" t="s">
        <v>2243</v>
      </c>
      <c r="C55" s="257" t="s">
        <v>1581</v>
      </c>
      <c r="D55" s="383">
        <f t="shared" si="0"/>
        <v>14036</v>
      </c>
      <c r="E55" s="384">
        <v>14036000</v>
      </c>
    </row>
    <row r="56" spans="1:5" ht="12.75" customHeight="1">
      <c r="A56" s="1047"/>
      <c r="B56" s="257" t="s">
        <v>2244</v>
      </c>
      <c r="C56" s="257" t="s">
        <v>1581</v>
      </c>
      <c r="D56" s="383">
        <f t="shared" si="0"/>
        <v>3833</v>
      </c>
      <c r="E56" s="384">
        <v>3833000</v>
      </c>
    </row>
    <row r="57" spans="1:5" ht="12.75" customHeight="1">
      <c r="A57" s="1047"/>
      <c r="B57" s="257" t="s">
        <v>2245</v>
      </c>
      <c r="C57" s="257" t="s">
        <v>1581</v>
      </c>
      <c r="D57" s="383">
        <f t="shared" si="0"/>
        <v>4036</v>
      </c>
      <c r="E57" s="384">
        <v>4036000</v>
      </c>
    </row>
    <row r="58" spans="1:5" ht="12.75" customHeight="1">
      <c r="A58" s="1047"/>
      <c r="B58" s="257" t="s">
        <v>2246</v>
      </c>
      <c r="C58" s="257" t="s">
        <v>1581</v>
      </c>
      <c r="D58" s="383">
        <f t="shared" si="0"/>
        <v>696</v>
      </c>
      <c r="E58" s="384">
        <v>696000</v>
      </c>
    </row>
    <row r="59" spans="1:5" ht="12.75" customHeight="1">
      <c r="A59" s="1047"/>
      <c r="B59" s="257" t="s">
        <v>2247</v>
      </c>
      <c r="C59" s="257" t="s">
        <v>1581</v>
      </c>
      <c r="D59" s="383">
        <f t="shared" si="0"/>
        <v>6436</v>
      </c>
      <c r="E59" s="384">
        <v>6436000</v>
      </c>
    </row>
    <row r="60" spans="1:5" ht="12.75" customHeight="1">
      <c r="A60" s="1047"/>
      <c r="B60" s="257" t="s">
        <v>2248</v>
      </c>
      <c r="C60" s="257" t="s">
        <v>1581</v>
      </c>
      <c r="D60" s="383">
        <f t="shared" si="0"/>
        <v>7444</v>
      </c>
      <c r="E60" s="384">
        <v>7444000</v>
      </c>
    </row>
    <row r="61" spans="1:5" ht="12.75" customHeight="1">
      <c r="A61" s="1047"/>
      <c r="B61" s="257" t="s">
        <v>2249</v>
      </c>
      <c r="C61" s="257" t="s">
        <v>1581</v>
      </c>
      <c r="D61" s="383">
        <f t="shared" si="0"/>
        <v>6130</v>
      </c>
      <c r="E61" s="384">
        <v>6130000</v>
      </c>
    </row>
    <row r="62" spans="1:5" ht="12.75" customHeight="1">
      <c r="A62" s="1047"/>
      <c r="B62" s="257" t="s">
        <v>2250</v>
      </c>
      <c r="C62" s="257" t="s">
        <v>1581</v>
      </c>
      <c r="D62" s="383">
        <f t="shared" si="0"/>
        <v>1534</v>
      </c>
      <c r="E62" s="384">
        <v>1534000</v>
      </c>
    </row>
    <row r="63" spans="1:5" ht="12.75" customHeight="1">
      <c r="A63" s="1039"/>
      <c r="B63" s="257" t="s">
        <v>2251</v>
      </c>
      <c r="C63" s="257" t="s">
        <v>1581</v>
      </c>
      <c r="D63" s="383">
        <f t="shared" si="0"/>
        <v>963</v>
      </c>
      <c r="E63" s="384">
        <v>963000</v>
      </c>
    </row>
    <row r="64" spans="1:5" ht="12.75" customHeight="1">
      <c r="A64" s="1043" t="s">
        <v>2252</v>
      </c>
      <c r="B64" s="257" t="s">
        <v>2253</v>
      </c>
      <c r="C64" s="257" t="s">
        <v>1581</v>
      </c>
      <c r="D64" s="383">
        <f t="shared" si="0"/>
        <v>7904</v>
      </c>
      <c r="E64" s="384">
        <v>7904000</v>
      </c>
    </row>
    <row r="65" spans="1:5" ht="12.75" customHeight="1">
      <c r="A65" s="1047"/>
      <c r="B65" s="257" t="s">
        <v>2254</v>
      </c>
      <c r="C65" s="257" t="s">
        <v>1581</v>
      </c>
      <c r="D65" s="383">
        <f t="shared" si="0"/>
        <v>358</v>
      </c>
      <c r="E65" s="384">
        <v>358000</v>
      </c>
    </row>
    <row r="66" spans="1:5" ht="12.75" customHeight="1">
      <c r="A66" s="1047"/>
      <c r="B66" s="257" t="s">
        <v>2255</v>
      </c>
      <c r="C66" s="257" t="s">
        <v>1581</v>
      </c>
      <c r="D66" s="383">
        <f t="shared" si="0"/>
        <v>18735</v>
      </c>
      <c r="E66" s="384">
        <v>18735000</v>
      </c>
    </row>
    <row r="67" spans="1:5" ht="12.75" customHeight="1">
      <c r="A67" s="1047"/>
      <c r="B67" s="257" t="s">
        <v>2256</v>
      </c>
      <c r="C67" s="257" t="s">
        <v>1581</v>
      </c>
      <c r="D67" s="383">
        <f t="shared" si="0"/>
        <v>5571</v>
      </c>
      <c r="E67" s="384">
        <v>5571000</v>
      </c>
    </row>
    <row r="68" spans="1:5" ht="12.75" customHeight="1">
      <c r="A68" s="1047"/>
      <c r="B68" s="257" t="s">
        <v>2257</v>
      </c>
      <c r="C68" s="257" t="s">
        <v>1581</v>
      </c>
      <c r="D68" s="383">
        <f t="shared" si="0"/>
        <v>3240</v>
      </c>
      <c r="E68" s="384">
        <v>3240000</v>
      </c>
    </row>
    <row r="69" spans="1:5" ht="12.75" customHeight="1">
      <c r="A69" s="1047"/>
      <c r="B69" s="257" t="s">
        <v>2258</v>
      </c>
      <c r="C69" s="257" t="s">
        <v>1581</v>
      </c>
      <c r="D69" s="383">
        <f t="shared" ref="D69:D132" si="1">E69/1000</f>
        <v>3122</v>
      </c>
      <c r="E69" s="384">
        <v>3122000</v>
      </c>
    </row>
    <row r="70" spans="1:5" ht="12.75" customHeight="1">
      <c r="A70" s="1047"/>
      <c r="B70" s="257" t="s">
        <v>2259</v>
      </c>
      <c r="C70" s="257" t="s">
        <v>1581</v>
      </c>
      <c r="D70" s="383">
        <f t="shared" si="1"/>
        <v>777</v>
      </c>
      <c r="E70" s="384">
        <v>777000</v>
      </c>
    </row>
    <row r="71" spans="1:5" ht="12.75" customHeight="1">
      <c r="A71" s="1047"/>
      <c r="B71" s="257" t="s">
        <v>2260</v>
      </c>
      <c r="C71" s="257" t="s">
        <v>1581</v>
      </c>
      <c r="D71" s="383">
        <f t="shared" si="1"/>
        <v>856</v>
      </c>
      <c r="E71" s="384">
        <v>856000</v>
      </c>
    </row>
    <row r="72" spans="1:5" ht="12.75" customHeight="1">
      <c r="A72" s="1047"/>
      <c r="B72" s="257" t="s">
        <v>2261</v>
      </c>
      <c r="C72" s="257" t="s">
        <v>1581</v>
      </c>
      <c r="D72" s="383">
        <f t="shared" si="1"/>
        <v>2713</v>
      </c>
      <c r="E72" s="384">
        <v>2713000</v>
      </c>
    </row>
    <row r="73" spans="1:5" ht="12.75" customHeight="1">
      <c r="A73" s="1047"/>
      <c r="B73" s="257" t="s">
        <v>2262</v>
      </c>
      <c r="C73" s="257" t="s">
        <v>1581</v>
      </c>
      <c r="D73" s="383">
        <f t="shared" si="1"/>
        <v>837</v>
      </c>
      <c r="E73" s="384">
        <v>837000</v>
      </c>
    </row>
    <row r="74" spans="1:5" ht="12.75" customHeight="1">
      <c r="A74" s="1047"/>
      <c r="B74" s="257" t="s">
        <v>2263</v>
      </c>
      <c r="C74" s="257" t="s">
        <v>1581</v>
      </c>
      <c r="D74" s="385">
        <v>0</v>
      </c>
      <c r="E74" s="384">
        <v>0</v>
      </c>
    </row>
    <row r="75" spans="1:5" ht="12.75" customHeight="1">
      <c r="A75" s="1047"/>
      <c r="B75" s="257" t="s">
        <v>2264</v>
      </c>
      <c r="C75" s="257" t="s">
        <v>1581</v>
      </c>
      <c r="D75" s="383">
        <f t="shared" si="1"/>
        <v>12196</v>
      </c>
      <c r="E75" s="384">
        <v>12196000</v>
      </c>
    </row>
    <row r="76" spans="1:5" ht="12.75" customHeight="1">
      <c r="A76" s="1047"/>
      <c r="B76" s="257" t="s">
        <v>2265</v>
      </c>
      <c r="C76" s="257" t="s">
        <v>1581</v>
      </c>
      <c r="D76" s="383">
        <f t="shared" si="1"/>
        <v>4164</v>
      </c>
      <c r="E76" s="384">
        <v>4164000</v>
      </c>
    </row>
    <row r="77" spans="1:5" ht="12.75" customHeight="1">
      <c r="A77" s="1039"/>
      <c r="B77" s="257" t="s">
        <v>2266</v>
      </c>
      <c r="C77" s="257" t="s">
        <v>1581</v>
      </c>
      <c r="D77" s="383">
        <f t="shared" si="1"/>
        <v>4033</v>
      </c>
      <c r="E77" s="384">
        <v>4033000</v>
      </c>
    </row>
    <row r="78" spans="1:5" ht="12.75" customHeight="1">
      <c r="A78" s="1043" t="s">
        <v>2267</v>
      </c>
      <c r="B78" s="257" t="s">
        <v>2268</v>
      </c>
      <c r="C78" s="257" t="s">
        <v>1581</v>
      </c>
      <c r="D78" s="383">
        <f t="shared" si="1"/>
        <v>3097</v>
      </c>
      <c r="E78" s="384">
        <v>3097000</v>
      </c>
    </row>
    <row r="79" spans="1:5" ht="12.75" customHeight="1">
      <c r="A79" s="1047"/>
      <c r="B79" s="257" t="s">
        <v>2269</v>
      </c>
      <c r="C79" s="257" t="s">
        <v>1581</v>
      </c>
      <c r="D79" s="383">
        <f t="shared" si="1"/>
        <v>3312</v>
      </c>
      <c r="E79" s="384">
        <v>3312000</v>
      </c>
    </row>
    <row r="80" spans="1:5" ht="12.75" customHeight="1">
      <c r="A80" s="1047"/>
      <c r="B80" s="257" t="s">
        <v>2270</v>
      </c>
      <c r="C80" s="257" t="s">
        <v>1581</v>
      </c>
      <c r="D80" s="383">
        <f t="shared" si="1"/>
        <v>2733</v>
      </c>
      <c r="E80" s="384">
        <v>2733000</v>
      </c>
    </row>
    <row r="81" spans="1:5" ht="12.75" customHeight="1">
      <c r="A81" s="1047"/>
      <c r="B81" s="257" t="s">
        <v>2271</v>
      </c>
      <c r="C81" s="257" t="s">
        <v>1581</v>
      </c>
      <c r="D81" s="383">
        <f t="shared" si="1"/>
        <v>2498</v>
      </c>
      <c r="E81" s="384">
        <v>2498000</v>
      </c>
    </row>
    <row r="82" spans="1:5" ht="12.75" customHeight="1">
      <c r="A82" s="1047"/>
      <c r="B82" s="257" t="s">
        <v>2272</v>
      </c>
      <c r="C82" s="257" t="s">
        <v>1581</v>
      </c>
      <c r="D82" s="383">
        <f t="shared" si="1"/>
        <v>2518</v>
      </c>
      <c r="E82" s="384">
        <v>2518000</v>
      </c>
    </row>
    <row r="83" spans="1:5" ht="12.75" customHeight="1">
      <c r="A83" s="1047"/>
      <c r="B83" s="257" t="s">
        <v>2273</v>
      </c>
      <c r="C83" s="257" t="s">
        <v>1581</v>
      </c>
      <c r="D83" s="383">
        <f t="shared" si="1"/>
        <v>764</v>
      </c>
      <c r="E83" s="384">
        <v>764000</v>
      </c>
    </row>
    <row r="84" spans="1:5" ht="12.75" customHeight="1">
      <c r="A84" s="1047"/>
      <c r="B84" s="257" t="s">
        <v>2274</v>
      </c>
      <c r="C84" s="257" t="s">
        <v>1581</v>
      </c>
      <c r="D84" s="383">
        <f t="shared" si="1"/>
        <v>3037</v>
      </c>
      <c r="E84" s="384">
        <v>3037000</v>
      </c>
    </row>
    <row r="85" spans="1:5" ht="12.75" customHeight="1">
      <c r="A85" s="1047"/>
      <c r="B85" s="257" t="s">
        <v>2275</v>
      </c>
      <c r="C85" s="257" t="s">
        <v>1581</v>
      </c>
      <c r="D85" s="383">
        <f t="shared" si="1"/>
        <v>1122</v>
      </c>
      <c r="E85" s="384">
        <v>1122000</v>
      </c>
    </row>
    <row r="86" spans="1:5" ht="12.75" customHeight="1">
      <c r="A86" s="1047"/>
      <c r="B86" s="257" t="s">
        <v>2276</v>
      </c>
      <c r="C86" s="257" t="s">
        <v>1581</v>
      </c>
      <c r="D86" s="383">
        <f t="shared" si="1"/>
        <v>2145</v>
      </c>
      <c r="E86" s="384">
        <v>2145000</v>
      </c>
    </row>
    <row r="87" spans="1:5" ht="12.75" customHeight="1">
      <c r="A87" s="1047"/>
      <c r="B87" s="257" t="s">
        <v>2277</v>
      </c>
      <c r="C87" s="257" t="s">
        <v>1581</v>
      </c>
      <c r="D87" s="383">
        <f t="shared" si="1"/>
        <v>9591</v>
      </c>
      <c r="E87" s="384">
        <v>9591000</v>
      </c>
    </row>
    <row r="88" spans="1:5" ht="12.75" customHeight="1">
      <c r="A88" s="1047"/>
      <c r="B88" s="257" t="s">
        <v>2278</v>
      </c>
      <c r="C88" s="257" t="s">
        <v>1581</v>
      </c>
      <c r="D88" s="383">
        <f t="shared" si="1"/>
        <v>3240</v>
      </c>
      <c r="E88" s="384">
        <v>3240000</v>
      </c>
    </row>
    <row r="89" spans="1:5" ht="12.75" customHeight="1">
      <c r="A89" s="1047"/>
      <c r="B89" s="257" t="s">
        <v>2279</v>
      </c>
      <c r="C89" s="257" t="s">
        <v>1581</v>
      </c>
      <c r="D89" s="383">
        <f t="shared" si="1"/>
        <v>22225</v>
      </c>
      <c r="E89" s="384">
        <v>22225000</v>
      </c>
    </row>
    <row r="90" spans="1:5" ht="12.75" customHeight="1">
      <c r="A90" s="1047"/>
      <c r="B90" s="257" t="s">
        <v>2280</v>
      </c>
      <c r="C90" s="257" t="s">
        <v>1581</v>
      </c>
      <c r="D90" s="383">
        <f t="shared" si="1"/>
        <v>17400</v>
      </c>
      <c r="E90" s="384">
        <v>17400000</v>
      </c>
    </row>
    <row r="91" spans="1:5" ht="12.75" customHeight="1">
      <c r="A91" s="1047"/>
      <c r="B91" s="257" t="s">
        <v>2281</v>
      </c>
      <c r="C91" s="257" t="s">
        <v>1581</v>
      </c>
      <c r="D91" s="383">
        <f t="shared" si="1"/>
        <v>17448</v>
      </c>
      <c r="E91" s="384">
        <v>17448000</v>
      </c>
    </row>
    <row r="92" spans="1:5" ht="12.75" customHeight="1">
      <c r="A92" s="1047"/>
      <c r="B92" s="257" t="s">
        <v>2282</v>
      </c>
      <c r="C92" s="257" t="s">
        <v>1581</v>
      </c>
      <c r="D92" s="383">
        <f t="shared" si="1"/>
        <v>15282</v>
      </c>
      <c r="E92" s="384">
        <v>15282000</v>
      </c>
    </row>
    <row r="93" spans="1:5" ht="12.75" customHeight="1">
      <c r="A93" s="1047"/>
      <c r="B93" s="257" t="s">
        <v>2283</v>
      </c>
      <c r="C93" s="257" t="s">
        <v>1581</v>
      </c>
      <c r="D93" s="383">
        <f t="shared" si="1"/>
        <v>29408</v>
      </c>
      <c r="E93" s="384">
        <v>29408000</v>
      </c>
    </row>
    <row r="94" spans="1:5" ht="12.75" customHeight="1">
      <c r="A94" s="1047"/>
      <c r="B94" s="257" t="s">
        <v>2284</v>
      </c>
      <c r="C94" s="257" t="s">
        <v>1581</v>
      </c>
      <c r="D94" s="383">
        <f t="shared" si="1"/>
        <v>6354</v>
      </c>
      <c r="E94" s="384">
        <v>6354000</v>
      </c>
    </row>
    <row r="95" spans="1:5" ht="12.75" customHeight="1">
      <c r="A95" s="1047"/>
      <c r="B95" s="257" t="s">
        <v>2285</v>
      </c>
      <c r="C95" s="257" t="s">
        <v>1581</v>
      </c>
      <c r="D95" s="383">
        <f t="shared" si="1"/>
        <v>2935</v>
      </c>
      <c r="E95" s="384">
        <v>2935000</v>
      </c>
    </row>
    <row r="96" spans="1:5" ht="12.75" customHeight="1">
      <c r="A96" s="1047"/>
      <c r="B96" s="257" t="s">
        <v>2286</v>
      </c>
      <c r="C96" s="257" t="s">
        <v>1581</v>
      </c>
      <c r="D96" s="383">
        <f t="shared" si="1"/>
        <v>9513</v>
      </c>
      <c r="E96" s="384">
        <v>9513000</v>
      </c>
    </row>
    <row r="97" spans="1:5" ht="12.75" customHeight="1">
      <c r="A97" s="1047"/>
      <c r="B97" s="257" t="s">
        <v>2287</v>
      </c>
      <c r="C97" s="257" t="s">
        <v>1581</v>
      </c>
      <c r="D97" s="383">
        <f t="shared" si="1"/>
        <v>16006</v>
      </c>
      <c r="E97" s="384">
        <v>16006000</v>
      </c>
    </row>
    <row r="98" spans="1:5" ht="12.75" customHeight="1">
      <c r="A98" s="1047"/>
      <c r="B98" s="257" t="s">
        <v>2288</v>
      </c>
      <c r="C98" s="257" t="s">
        <v>1581</v>
      </c>
      <c r="D98" s="383">
        <f t="shared" si="1"/>
        <v>4565</v>
      </c>
      <c r="E98" s="384">
        <v>4565000</v>
      </c>
    </row>
    <row r="99" spans="1:5" ht="12.75" customHeight="1">
      <c r="A99" s="1047"/>
      <c r="B99" s="257" t="s">
        <v>2289</v>
      </c>
      <c r="C99" s="257" t="s">
        <v>1581</v>
      </c>
      <c r="D99" s="383">
        <f t="shared" si="1"/>
        <v>9408</v>
      </c>
      <c r="E99" s="384">
        <v>9408000</v>
      </c>
    </row>
    <row r="100" spans="1:5" ht="12.75" customHeight="1">
      <c r="A100" s="1047"/>
      <c r="B100" s="257" t="s">
        <v>2290</v>
      </c>
      <c r="C100" s="257" t="s">
        <v>1581</v>
      </c>
      <c r="D100" s="383">
        <f t="shared" si="1"/>
        <v>2728</v>
      </c>
      <c r="E100" s="384">
        <v>2728000</v>
      </c>
    </row>
    <row r="101" spans="1:5" ht="12.75" customHeight="1">
      <c r="A101" s="1047"/>
      <c r="B101" s="257" t="s">
        <v>2291</v>
      </c>
      <c r="C101" s="257" t="s">
        <v>1581</v>
      </c>
      <c r="D101" s="383">
        <f t="shared" si="1"/>
        <v>7580</v>
      </c>
      <c r="E101" s="384">
        <v>7580000</v>
      </c>
    </row>
    <row r="102" spans="1:5" ht="12.75" customHeight="1">
      <c r="A102" s="1047"/>
      <c r="B102" s="257" t="s">
        <v>2292</v>
      </c>
      <c r="C102" s="257" t="s">
        <v>1581</v>
      </c>
      <c r="D102" s="383">
        <f t="shared" si="1"/>
        <v>14578</v>
      </c>
      <c r="E102" s="384">
        <v>14578000</v>
      </c>
    </row>
    <row r="103" spans="1:5" ht="12.75" customHeight="1">
      <c r="A103" s="1047"/>
      <c r="B103" s="257" t="s">
        <v>2293</v>
      </c>
      <c r="C103" s="257" t="s">
        <v>1581</v>
      </c>
      <c r="D103" s="383">
        <f t="shared" si="1"/>
        <v>3546</v>
      </c>
      <c r="E103" s="384">
        <v>3546000</v>
      </c>
    </row>
    <row r="104" spans="1:5" ht="12.75" customHeight="1">
      <c r="A104" s="1047"/>
      <c r="B104" s="257" t="s">
        <v>2294</v>
      </c>
      <c r="C104" s="257" t="s">
        <v>1581</v>
      </c>
      <c r="D104" s="383">
        <f t="shared" si="1"/>
        <v>2317</v>
      </c>
      <c r="E104" s="384">
        <v>2317000</v>
      </c>
    </row>
    <row r="105" spans="1:5" ht="12.75" customHeight="1">
      <c r="A105" s="1039"/>
      <c r="B105" s="257" t="s">
        <v>2295</v>
      </c>
      <c r="C105" s="257" t="s">
        <v>1581</v>
      </c>
      <c r="D105" s="383">
        <f t="shared" si="1"/>
        <v>8776</v>
      </c>
      <c r="E105" s="384">
        <v>8776000</v>
      </c>
    </row>
    <row r="106" spans="1:5" ht="12.75" customHeight="1">
      <c r="A106" s="1043" t="s">
        <v>2296</v>
      </c>
      <c r="B106" s="257" t="s">
        <v>2297</v>
      </c>
      <c r="C106" s="257" t="s">
        <v>1581</v>
      </c>
      <c r="D106" s="383">
        <f t="shared" si="1"/>
        <v>1819</v>
      </c>
      <c r="E106" s="384">
        <v>1819000</v>
      </c>
    </row>
    <row r="107" spans="1:5" ht="12.75" customHeight="1">
      <c r="A107" s="1047"/>
      <c r="B107" s="257" t="s">
        <v>2298</v>
      </c>
      <c r="C107" s="257" t="s">
        <v>1581</v>
      </c>
      <c r="D107" s="383">
        <f t="shared" si="1"/>
        <v>1618</v>
      </c>
      <c r="E107" s="384">
        <v>1618000</v>
      </c>
    </row>
    <row r="108" spans="1:5" ht="12.75" customHeight="1">
      <c r="A108" s="1047"/>
      <c r="B108" s="257" t="s">
        <v>2299</v>
      </c>
      <c r="C108" s="257" t="s">
        <v>1581</v>
      </c>
      <c r="D108" s="383">
        <f t="shared" si="1"/>
        <v>9305</v>
      </c>
      <c r="E108" s="384">
        <v>9305000</v>
      </c>
    </row>
    <row r="109" spans="1:5" ht="12.75" customHeight="1">
      <c r="A109" s="1047"/>
      <c r="B109" s="257" t="s">
        <v>2300</v>
      </c>
      <c r="C109" s="257" t="s">
        <v>1581</v>
      </c>
      <c r="D109" s="383">
        <f t="shared" si="1"/>
        <v>789</v>
      </c>
      <c r="E109" s="384">
        <v>789000</v>
      </c>
    </row>
    <row r="110" spans="1:5" ht="12.75" customHeight="1">
      <c r="A110" s="1047"/>
      <c r="B110" s="257" t="s">
        <v>2301</v>
      </c>
      <c r="C110" s="257" t="s">
        <v>1581</v>
      </c>
      <c r="D110" s="383">
        <f t="shared" si="1"/>
        <v>12548</v>
      </c>
      <c r="E110" s="384">
        <v>12548000</v>
      </c>
    </row>
    <row r="111" spans="1:5" ht="12.75" customHeight="1">
      <c r="A111" s="1047"/>
      <c r="B111" s="257" t="s">
        <v>2302</v>
      </c>
      <c r="C111" s="257" t="s">
        <v>1581</v>
      </c>
      <c r="D111" s="383">
        <f t="shared" si="1"/>
        <v>2460</v>
      </c>
      <c r="E111" s="384">
        <v>2460000</v>
      </c>
    </row>
    <row r="112" spans="1:5" ht="12.75" customHeight="1">
      <c r="A112" s="1039"/>
      <c r="B112" s="257" t="s">
        <v>2303</v>
      </c>
      <c r="C112" s="257" t="s">
        <v>1581</v>
      </c>
      <c r="D112" s="383">
        <f t="shared" si="1"/>
        <v>2189</v>
      </c>
      <c r="E112" s="384">
        <v>2189000</v>
      </c>
    </row>
    <row r="113" spans="1:5" ht="12.75" customHeight="1">
      <c r="A113" s="1043" t="s">
        <v>2296</v>
      </c>
      <c r="B113" s="257" t="s">
        <v>2304</v>
      </c>
      <c r="C113" s="257" t="s">
        <v>1581</v>
      </c>
      <c r="D113" s="383">
        <f t="shared" si="1"/>
        <v>6229</v>
      </c>
      <c r="E113" s="384">
        <v>6229000</v>
      </c>
    </row>
    <row r="114" spans="1:5" ht="12.75" customHeight="1">
      <c r="A114" s="1047"/>
      <c r="B114" s="257" t="s">
        <v>2305</v>
      </c>
      <c r="C114" s="257" t="s">
        <v>1581</v>
      </c>
      <c r="D114" s="383">
        <f t="shared" si="1"/>
        <v>8042</v>
      </c>
      <c r="E114" s="384">
        <v>8042000</v>
      </c>
    </row>
    <row r="115" spans="1:5" ht="12.75" customHeight="1">
      <c r="A115" s="1047"/>
      <c r="B115" s="257" t="s">
        <v>2306</v>
      </c>
      <c r="C115" s="257" t="s">
        <v>1581</v>
      </c>
      <c r="D115" s="383">
        <f t="shared" si="1"/>
        <v>14554</v>
      </c>
      <c r="E115" s="384">
        <v>14554000</v>
      </c>
    </row>
    <row r="116" spans="1:5" ht="12.75" customHeight="1">
      <c r="A116" s="1047"/>
      <c r="B116" s="257" t="s">
        <v>2307</v>
      </c>
      <c r="C116" s="257" t="s">
        <v>1581</v>
      </c>
      <c r="D116" s="383">
        <f t="shared" si="1"/>
        <v>3697</v>
      </c>
      <c r="E116" s="384">
        <v>3697000</v>
      </c>
    </row>
    <row r="117" spans="1:5" ht="12.75" customHeight="1">
      <c r="A117" s="1047"/>
      <c r="B117" s="257" t="s">
        <v>2308</v>
      </c>
      <c r="C117" s="257" t="s">
        <v>1581</v>
      </c>
      <c r="D117" s="383">
        <f t="shared" si="1"/>
        <v>5835</v>
      </c>
      <c r="E117" s="384">
        <v>5835000</v>
      </c>
    </row>
    <row r="118" spans="1:5" ht="12.75" customHeight="1">
      <c r="A118" s="1047"/>
      <c r="B118" s="257" t="s">
        <v>2309</v>
      </c>
      <c r="C118" s="257" t="s">
        <v>1581</v>
      </c>
      <c r="D118" s="383">
        <f t="shared" si="1"/>
        <v>4993</v>
      </c>
      <c r="E118" s="384">
        <v>4993000</v>
      </c>
    </row>
    <row r="119" spans="1:5" ht="12.75" customHeight="1">
      <c r="A119" s="1047"/>
      <c r="B119" s="257" t="s">
        <v>2310</v>
      </c>
      <c r="C119" s="257" t="s">
        <v>1581</v>
      </c>
      <c r="D119" s="383">
        <f t="shared" si="1"/>
        <v>7597</v>
      </c>
      <c r="E119" s="384">
        <v>7597000</v>
      </c>
    </row>
    <row r="120" spans="1:5" ht="12.75" customHeight="1">
      <c r="A120" s="1047"/>
      <c r="B120" s="257" t="s">
        <v>2311</v>
      </c>
      <c r="C120" s="257" t="s">
        <v>1581</v>
      </c>
      <c r="D120" s="383">
        <f t="shared" si="1"/>
        <v>1545</v>
      </c>
      <c r="E120" s="384">
        <v>1545000</v>
      </c>
    </row>
    <row r="121" spans="1:5" ht="12.75" customHeight="1">
      <c r="A121" s="1047"/>
      <c r="B121" s="257" t="s">
        <v>2312</v>
      </c>
      <c r="C121" s="257" t="s">
        <v>1581</v>
      </c>
      <c r="D121" s="383">
        <f t="shared" si="1"/>
        <v>2732</v>
      </c>
      <c r="E121" s="384">
        <v>2732000</v>
      </c>
    </row>
    <row r="122" spans="1:5" ht="12.75" customHeight="1">
      <c r="A122" s="1047"/>
      <c r="B122" s="257" t="s">
        <v>2313</v>
      </c>
      <c r="C122" s="257" t="s">
        <v>1581</v>
      </c>
      <c r="D122" s="383">
        <f t="shared" si="1"/>
        <v>1785</v>
      </c>
      <c r="E122" s="384">
        <v>1785000</v>
      </c>
    </row>
    <row r="123" spans="1:5" ht="12.75" customHeight="1">
      <c r="A123" s="1047"/>
      <c r="B123" s="257" t="s">
        <v>2314</v>
      </c>
      <c r="C123" s="257" t="s">
        <v>1581</v>
      </c>
      <c r="D123" s="383">
        <f t="shared" si="1"/>
        <v>1644</v>
      </c>
      <c r="E123" s="384">
        <v>1644000</v>
      </c>
    </row>
    <row r="124" spans="1:5" ht="12.75" customHeight="1">
      <c r="A124" s="1047"/>
      <c r="B124" s="257" t="s">
        <v>2315</v>
      </c>
      <c r="C124" s="257" t="s">
        <v>1581</v>
      </c>
      <c r="D124" s="383">
        <f t="shared" si="1"/>
        <v>10217</v>
      </c>
      <c r="E124" s="384">
        <v>10217000</v>
      </c>
    </row>
    <row r="125" spans="1:5" ht="12.75" customHeight="1">
      <c r="A125" s="1047"/>
      <c r="B125" s="257" t="s">
        <v>2316</v>
      </c>
      <c r="C125" s="257" t="s">
        <v>1581</v>
      </c>
      <c r="D125" s="383">
        <f t="shared" si="1"/>
        <v>3340</v>
      </c>
      <c r="E125" s="384">
        <v>3340000</v>
      </c>
    </row>
    <row r="126" spans="1:5" ht="12.75" customHeight="1">
      <c r="A126" s="1047"/>
      <c r="B126" s="257" t="s">
        <v>2317</v>
      </c>
      <c r="C126" s="257" t="s">
        <v>1581</v>
      </c>
      <c r="D126" s="383">
        <f t="shared" si="1"/>
        <v>4461</v>
      </c>
      <c r="E126" s="384">
        <v>4461000</v>
      </c>
    </row>
    <row r="127" spans="1:5" ht="12.75" customHeight="1">
      <c r="A127" s="1047"/>
      <c r="B127" s="257" t="s">
        <v>2318</v>
      </c>
      <c r="C127" s="257" t="s">
        <v>1581</v>
      </c>
      <c r="D127" s="383">
        <f t="shared" si="1"/>
        <v>836</v>
      </c>
      <c r="E127" s="384">
        <v>836000</v>
      </c>
    </row>
    <row r="128" spans="1:5" ht="12.75" customHeight="1">
      <c r="A128" s="1039"/>
      <c r="B128" s="257" t="s">
        <v>2319</v>
      </c>
      <c r="C128" s="257" t="s">
        <v>1581</v>
      </c>
      <c r="D128" s="383">
        <f t="shared" si="1"/>
        <v>8702</v>
      </c>
      <c r="E128" s="384">
        <v>8702000</v>
      </c>
    </row>
    <row r="129" spans="1:5" ht="12.75" customHeight="1">
      <c r="A129" s="1043" t="s">
        <v>2320</v>
      </c>
      <c r="B129" s="257" t="s">
        <v>2321</v>
      </c>
      <c r="C129" s="257" t="s">
        <v>1581</v>
      </c>
      <c r="D129" s="383">
        <f t="shared" si="1"/>
        <v>1017</v>
      </c>
      <c r="E129" s="384">
        <v>1017000</v>
      </c>
    </row>
    <row r="130" spans="1:5" ht="12.75" customHeight="1">
      <c r="A130" s="1047"/>
      <c r="B130" s="257" t="s">
        <v>2322</v>
      </c>
      <c r="C130" s="257" t="s">
        <v>1581</v>
      </c>
      <c r="D130" s="383">
        <f t="shared" si="1"/>
        <v>7377</v>
      </c>
      <c r="E130" s="384">
        <v>7377000</v>
      </c>
    </row>
    <row r="131" spans="1:5" ht="12.75" customHeight="1">
      <c r="A131" s="1047"/>
      <c r="B131" s="257" t="s">
        <v>2323</v>
      </c>
      <c r="C131" s="257" t="s">
        <v>1581</v>
      </c>
      <c r="D131" s="383">
        <f t="shared" si="1"/>
        <v>2413</v>
      </c>
      <c r="E131" s="384">
        <v>2413000</v>
      </c>
    </row>
    <row r="132" spans="1:5" ht="12.75" customHeight="1">
      <c r="A132" s="1047"/>
      <c r="B132" s="257" t="s">
        <v>2324</v>
      </c>
      <c r="C132" s="257" t="s">
        <v>1581</v>
      </c>
      <c r="D132" s="383">
        <f t="shared" si="1"/>
        <v>1264</v>
      </c>
      <c r="E132" s="384">
        <v>1264000</v>
      </c>
    </row>
    <row r="133" spans="1:5" ht="12.75" customHeight="1">
      <c r="A133" s="1047"/>
      <c r="B133" s="257" t="s">
        <v>2325</v>
      </c>
      <c r="C133" s="257" t="s">
        <v>1581</v>
      </c>
      <c r="D133" s="383">
        <f t="shared" ref="D133:D196" si="2">E133/1000</f>
        <v>931</v>
      </c>
      <c r="E133" s="384">
        <v>931000</v>
      </c>
    </row>
    <row r="134" spans="1:5" ht="12.75" customHeight="1">
      <c r="A134" s="1047"/>
      <c r="B134" s="257" t="s">
        <v>2326</v>
      </c>
      <c r="C134" s="257" t="s">
        <v>1581</v>
      </c>
      <c r="D134" s="383">
        <f t="shared" si="2"/>
        <v>795</v>
      </c>
      <c r="E134" s="384">
        <v>795000</v>
      </c>
    </row>
    <row r="135" spans="1:5" ht="12.75" customHeight="1">
      <c r="A135" s="1047"/>
      <c r="B135" s="257" t="s">
        <v>2327</v>
      </c>
      <c r="C135" s="257" t="s">
        <v>1581</v>
      </c>
      <c r="D135" s="383">
        <f t="shared" si="2"/>
        <v>15933</v>
      </c>
      <c r="E135" s="384">
        <v>15933000</v>
      </c>
    </row>
    <row r="136" spans="1:5" ht="12.75" customHeight="1">
      <c r="A136" s="1047"/>
      <c r="B136" s="257" t="s">
        <v>2328</v>
      </c>
      <c r="C136" s="257" t="s">
        <v>1581</v>
      </c>
      <c r="D136" s="383">
        <f t="shared" si="2"/>
        <v>5850</v>
      </c>
      <c r="E136" s="384">
        <v>5850000</v>
      </c>
    </row>
    <row r="137" spans="1:5" ht="12.75" customHeight="1">
      <c r="A137" s="1047"/>
      <c r="B137" s="257" t="s">
        <v>2329</v>
      </c>
      <c r="C137" s="257" t="s">
        <v>1581</v>
      </c>
      <c r="D137" s="383">
        <f t="shared" si="2"/>
        <v>4451</v>
      </c>
      <c r="E137" s="384">
        <v>4451000</v>
      </c>
    </row>
    <row r="138" spans="1:5" ht="12.75" customHeight="1">
      <c r="A138" s="1047"/>
      <c r="B138" s="257" t="s">
        <v>2330</v>
      </c>
      <c r="C138" s="257" t="s">
        <v>1581</v>
      </c>
      <c r="D138" s="383">
        <f t="shared" si="2"/>
        <v>893</v>
      </c>
      <c r="E138" s="384">
        <v>893000</v>
      </c>
    </row>
    <row r="139" spans="1:5" ht="12.75" customHeight="1">
      <c r="A139" s="1047"/>
      <c r="B139" s="257" t="s">
        <v>2331</v>
      </c>
      <c r="C139" s="257" t="s">
        <v>1581</v>
      </c>
      <c r="D139" s="383">
        <f t="shared" si="2"/>
        <v>2536</v>
      </c>
      <c r="E139" s="384">
        <v>2536000</v>
      </c>
    </row>
    <row r="140" spans="1:5" ht="12.75" customHeight="1">
      <c r="A140" s="1047"/>
      <c r="B140" s="257" t="s">
        <v>2332</v>
      </c>
      <c r="C140" s="257" t="s">
        <v>1581</v>
      </c>
      <c r="D140" s="383">
        <f t="shared" si="2"/>
        <v>2421</v>
      </c>
      <c r="E140" s="384">
        <v>2421000</v>
      </c>
    </row>
    <row r="141" spans="1:5" ht="12.75" customHeight="1">
      <c r="A141" s="1039"/>
      <c r="B141" s="257" t="s">
        <v>2333</v>
      </c>
      <c r="C141" s="257" t="s">
        <v>1581</v>
      </c>
      <c r="D141" s="383">
        <f t="shared" si="2"/>
        <v>5793</v>
      </c>
      <c r="E141" s="384">
        <v>5793000</v>
      </c>
    </row>
    <row r="142" spans="1:5" ht="12.75" customHeight="1">
      <c r="A142" s="1041" t="s">
        <v>2334</v>
      </c>
      <c r="B142" s="257" t="s">
        <v>2335</v>
      </c>
      <c r="C142" s="257" t="s">
        <v>1581</v>
      </c>
      <c r="D142" s="383">
        <f t="shared" si="2"/>
        <v>5101</v>
      </c>
      <c r="E142" s="384">
        <v>5101000</v>
      </c>
    </row>
    <row r="143" spans="1:5" ht="12.75" customHeight="1">
      <c r="A143" s="1041"/>
      <c r="B143" s="257" t="s">
        <v>2336</v>
      </c>
      <c r="C143" s="257" t="s">
        <v>1581</v>
      </c>
      <c r="D143" s="383">
        <f t="shared" si="2"/>
        <v>1589</v>
      </c>
      <c r="E143" s="384">
        <v>1589000</v>
      </c>
    </row>
    <row r="144" spans="1:5" ht="12.75" customHeight="1">
      <c r="A144" s="1041"/>
      <c r="B144" s="257" t="s">
        <v>2337</v>
      </c>
      <c r="C144" s="257" t="s">
        <v>1581</v>
      </c>
      <c r="D144" s="383">
        <f t="shared" si="2"/>
        <v>8939</v>
      </c>
      <c r="E144" s="384">
        <v>8939000</v>
      </c>
    </row>
    <row r="145" spans="1:5" ht="12.75" customHeight="1">
      <c r="A145" s="1041"/>
      <c r="B145" s="257" t="s">
        <v>2338</v>
      </c>
      <c r="C145" s="257" t="s">
        <v>1581</v>
      </c>
      <c r="D145" s="383">
        <f t="shared" si="2"/>
        <v>13913</v>
      </c>
      <c r="E145" s="384">
        <v>13913000</v>
      </c>
    </row>
    <row r="146" spans="1:5" ht="12.75" customHeight="1">
      <c r="A146" s="1041"/>
      <c r="B146" s="257" t="s">
        <v>2339</v>
      </c>
      <c r="C146" s="257" t="s">
        <v>1581</v>
      </c>
      <c r="D146" s="383">
        <f t="shared" si="2"/>
        <v>3971</v>
      </c>
      <c r="E146" s="384">
        <v>3971000</v>
      </c>
    </row>
    <row r="147" spans="1:5" ht="12.75" customHeight="1">
      <c r="A147" s="1041"/>
      <c r="B147" s="257" t="s">
        <v>2340</v>
      </c>
      <c r="C147" s="257" t="s">
        <v>1581</v>
      </c>
      <c r="D147" s="383">
        <f t="shared" si="2"/>
        <v>2697</v>
      </c>
      <c r="E147" s="384">
        <v>2697000</v>
      </c>
    </row>
    <row r="148" spans="1:5" ht="12.75" customHeight="1">
      <c r="A148" s="1041"/>
      <c r="B148" s="257" t="s">
        <v>2341</v>
      </c>
      <c r="C148" s="257" t="s">
        <v>1581</v>
      </c>
      <c r="D148" s="383">
        <f t="shared" si="2"/>
        <v>932</v>
      </c>
      <c r="E148" s="384">
        <v>932000</v>
      </c>
    </row>
    <row r="149" spans="1:5" ht="12.75" customHeight="1">
      <c r="A149" s="1041"/>
      <c r="B149" s="257" t="s">
        <v>2342</v>
      </c>
      <c r="C149" s="257" t="s">
        <v>1581</v>
      </c>
      <c r="D149" s="383">
        <f t="shared" si="2"/>
        <v>10388</v>
      </c>
      <c r="E149" s="384">
        <v>10388000</v>
      </c>
    </row>
    <row r="150" spans="1:5" ht="12.75" customHeight="1">
      <c r="A150" s="1041"/>
      <c r="B150" s="257" t="s">
        <v>2343</v>
      </c>
      <c r="C150" s="257" t="s">
        <v>1581</v>
      </c>
      <c r="D150" s="383">
        <f t="shared" si="2"/>
        <v>5330</v>
      </c>
      <c r="E150" s="384">
        <v>5330000</v>
      </c>
    </row>
    <row r="151" spans="1:5" ht="12.75" customHeight="1">
      <c r="A151" s="1041"/>
      <c r="B151" s="257" t="s">
        <v>2344</v>
      </c>
      <c r="C151" s="257" t="s">
        <v>1581</v>
      </c>
      <c r="D151" s="383">
        <f t="shared" si="2"/>
        <v>2020</v>
      </c>
      <c r="E151" s="384">
        <v>2020000</v>
      </c>
    </row>
    <row r="152" spans="1:5" ht="12.75" customHeight="1">
      <c r="A152" s="1041"/>
      <c r="B152" s="257" t="s">
        <v>2345</v>
      </c>
      <c r="C152" s="257" t="s">
        <v>1581</v>
      </c>
      <c r="D152" s="383">
        <f t="shared" si="2"/>
        <v>1432</v>
      </c>
      <c r="E152" s="384">
        <v>1432000</v>
      </c>
    </row>
    <row r="153" spans="1:5" ht="12.75" customHeight="1">
      <c r="A153" s="1041"/>
      <c r="B153" s="257" t="s">
        <v>2346</v>
      </c>
      <c r="C153" s="257" t="s">
        <v>1581</v>
      </c>
      <c r="D153" s="383">
        <f t="shared" si="2"/>
        <v>8881</v>
      </c>
      <c r="E153" s="384">
        <v>8881000</v>
      </c>
    </row>
    <row r="154" spans="1:5" ht="12.75" customHeight="1">
      <c r="A154" s="1041"/>
      <c r="B154" s="257" t="s">
        <v>2347</v>
      </c>
      <c r="C154" s="257" t="s">
        <v>1581</v>
      </c>
      <c r="D154" s="383">
        <f t="shared" si="2"/>
        <v>858</v>
      </c>
      <c r="E154" s="384">
        <v>858000</v>
      </c>
    </row>
    <row r="155" spans="1:5" ht="12.75" customHeight="1">
      <c r="A155" s="1041"/>
      <c r="B155" s="257" t="s">
        <v>2348</v>
      </c>
      <c r="C155" s="257" t="s">
        <v>1581</v>
      </c>
      <c r="D155" s="383">
        <f t="shared" si="2"/>
        <v>16472</v>
      </c>
      <c r="E155" s="384">
        <v>16472000</v>
      </c>
    </row>
    <row r="156" spans="1:5" ht="12.75" customHeight="1">
      <c r="A156" s="1041"/>
      <c r="B156" s="257" t="s">
        <v>2349</v>
      </c>
      <c r="C156" s="257" t="s">
        <v>1581</v>
      </c>
      <c r="D156" s="383">
        <f t="shared" si="2"/>
        <v>29039</v>
      </c>
      <c r="E156" s="384">
        <v>29039000</v>
      </c>
    </row>
    <row r="157" spans="1:5" ht="12.75" customHeight="1">
      <c r="A157" s="1041"/>
      <c r="B157" s="257" t="s">
        <v>2350</v>
      </c>
      <c r="C157" s="257" t="s">
        <v>1581</v>
      </c>
      <c r="D157" s="383">
        <f t="shared" si="2"/>
        <v>3974</v>
      </c>
      <c r="E157" s="384">
        <v>3974000</v>
      </c>
    </row>
    <row r="158" spans="1:5" ht="12.75" customHeight="1">
      <c r="A158" s="1041"/>
      <c r="B158" s="257" t="s">
        <v>2351</v>
      </c>
      <c r="C158" s="257" t="s">
        <v>1581</v>
      </c>
      <c r="D158" s="383">
        <f t="shared" si="2"/>
        <v>6151</v>
      </c>
      <c r="E158" s="384">
        <v>6151000</v>
      </c>
    </row>
    <row r="159" spans="1:5" ht="12.75" customHeight="1">
      <c r="A159" s="1041"/>
      <c r="B159" s="257" t="s">
        <v>2352</v>
      </c>
      <c r="C159" s="257" t="s">
        <v>1581</v>
      </c>
      <c r="D159" s="383">
        <f t="shared" si="2"/>
        <v>2575</v>
      </c>
      <c r="E159" s="384">
        <v>2575000</v>
      </c>
    </row>
    <row r="160" spans="1:5" ht="12.75" customHeight="1">
      <c r="A160" s="1041"/>
      <c r="B160" s="257" t="s">
        <v>2353</v>
      </c>
      <c r="C160" s="257" t="s">
        <v>1581</v>
      </c>
      <c r="D160" s="383">
        <f t="shared" si="2"/>
        <v>1712</v>
      </c>
      <c r="E160" s="384">
        <v>1712000</v>
      </c>
    </row>
    <row r="161" spans="1:5" ht="12.75" customHeight="1">
      <c r="A161" s="1041"/>
      <c r="B161" s="257" t="s">
        <v>2354</v>
      </c>
      <c r="C161" s="257" t="s">
        <v>1581</v>
      </c>
      <c r="D161" s="383">
        <f t="shared" si="2"/>
        <v>10088</v>
      </c>
      <c r="E161" s="384">
        <v>10088000</v>
      </c>
    </row>
    <row r="162" spans="1:5" ht="12.75" customHeight="1">
      <c r="A162" s="1041"/>
      <c r="B162" s="257" t="s">
        <v>2355</v>
      </c>
      <c r="C162" s="257" t="s">
        <v>1581</v>
      </c>
      <c r="D162" s="383">
        <f t="shared" si="2"/>
        <v>4516</v>
      </c>
      <c r="E162" s="384">
        <v>4516000</v>
      </c>
    </row>
    <row r="163" spans="1:5" ht="12.75" customHeight="1">
      <c r="A163" s="1041"/>
      <c r="B163" s="257" t="s">
        <v>2356</v>
      </c>
      <c r="C163" s="257" t="s">
        <v>1581</v>
      </c>
      <c r="D163" s="383">
        <f t="shared" si="2"/>
        <v>9782</v>
      </c>
      <c r="E163" s="384">
        <v>9782000</v>
      </c>
    </row>
    <row r="164" spans="1:5" ht="12.75" customHeight="1">
      <c r="A164" s="1041"/>
      <c r="B164" s="257" t="s">
        <v>2357</v>
      </c>
      <c r="C164" s="257" t="s">
        <v>1581</v>
      </c>
      <c r="D164" s="383">
        <f t="shared" si="2"/>
        <v>6505</v>
      </c>
      <c r="E164" s="384">
        <v>6505000</v>
      </c>
    </row>
    <row r="165" spans="1:5" ht="12.75" customHeight="1">
      <c r="A165" s="1041"/>
      <c r="B165" s="257" t="s">
        <v>2358</v>
      </c>
      <c r="C165" s="257" t="s">
        <v>1581</v>
      </c>
      <c r="D165" s="383">
        <f t="shared" si="2"/>
        <v>2368</v>
      </c>
      <c r="E165" s="384">
        <v>2368000</v>
      </c>
    </row>
    <row r="166" spans="1:5" ht="12.75" customHeight="1">
      <c r="A166" s="1041"/>
      <c r="B166" s="257" t="s">
        <v>2359</v>
      </c>
      <c r="C166" s="257" t="s">
        <v>1581</v>
      </c>
      <c r="D166" s="383">
        <f t="shared" si="2"/>
        <v>5001</v>
      </c>
      <c r="E166" s="384">
        <v>5001000</v>
      </c>
    </row>
    <row r="167" spans="1:5" ht="12.75" customHeight="1">
      <c r="A167" s="1041"/>
      <c r="B167" s="257" t="s">
        <v>2360</v>
      </c>
      <c r="C167" s="257" t="s">
        <v>1581</v>
      </c>
      <c r="D167" s="383">
        <f t="shared" si="2"/>
        <v>1426</v>
      </c>
      <c r="E167" s="384">
        <v>1426000</v>
      </c>
    </row>
    <row r="168" spans="1:5" ht="12.75" customHeight="1">
      <c r="A168" s="1041"/>
      <c r="B168" s="257" t="s">
        <v>2361</v>
      </c>
      <c r="C168" s="257" t="s">
        <v>1581</v>
      </c>
      <c r="D168" s="383">
        <f t="shared" si="2"/>
        <v>2450</v>
      </c>
      <c r="E168" s="384">
        <v>2450000</v>
      </c>
    </row>
    <row r="169" spans="1:5" ht="12.75" customHeight="1">
      <c r="A169" s="1041"/>
      <c r="B169" s="257" t="s">
        <v>2362</v>
      </c>
      <c r="C169" s="257" t="s">
        <v>1581</v>
      </c>
      <c r="D169" s="383">
        <f t="shared" si="2"/>
        <v>13406</v>
      </c>
      <c r="E169" s="384">
        <v>13406000</v>
      </c>
    </row>
    <row r="170" spans="1:5" ht="12.75" customHeight="1">
      <c r="A170" s="1041"/>
      <c r="B170" s="257" t="s">
        <v>2363</v>
      </c>
      <c r="C170" s="257" t="s">
        <v>1581</v>
      </c>
      <c r="D170" s="383">
        <f t="shared" si="2"/>
        <v>923</v>
      </c>
      <c r="E170" s="384">
        <v>923000</v>
      </c>
    </row>
    <row r="171" spans="1:5" ht="12.75" customHeight="1">
      <c r="A171" s="1041"/>
      <c r="B171" s="257" t="s">
        <v>2364</v>
      </c>
      <c r="C171" s="257" t="s">
        <v>1581</v>
      </c>
      <c r="D171" s="383">
        <f t="shared" si="2"/>
        <v>9823</v>
      </c>
      <c r="E171" s="384">
        <v>9823000</v>
      </c>
    </row>
    <row r="172" spans="1:5" ht="12.75" customHeight="1">
      <c r="A172" s="1076" t="s">
        <v>2334</v>
      </c>
      <c r="B172" s="257" t="s">
        <v>2365</v>
      </c>
      <c r="C172" s="257" t="s">
        <v>1581</v>
      </c>
      <c r="D172" s="383">
        <f t="shared" si="2"/>
        <v>7377</v>
      </c>
      <c r="E172" s="384">
        <v>7377000</v>
      </c>
    </row>
    <row r="173" spans="1:5" ht="12.75" customHeight="1">
      <c r="A173" s="1076"/>
      <c r="B173" s="257" t="s">
        <v>2366</v>
      </c>
      <c r="C173" s="257" t="s">
        <v>1581</v>
      </c>
      <c r="D173" s="383">
        <f t="shared" si="2"/>
        <v>2806</v>
      </c>
      <c r="E173" s="384">
        <v>2806000</v>
      </c>
    </row>
    <row r="174" spans="1:5" ht="12.75" customHeight="1">
      <c r="A174" s="1076"/>
      <c r="B174" s="257" t="s">
        <v>2367</v>
      </c>
      <c r="C174" s="257" t="s">
        <v>1581</v>
      </c>
      <c r="D174" s="383">
        <f t="shared" si="2"/>
        <v>12074</v>
      </c>
      <c r="E174" s="384">
        <v>12074000</v>
      </c>
    </row>
    <row r="175" spans="1:5" ht="12.75" customHeight="1">
      <c r="A175" s="1076"/>
      <c r="B175" s="257" t="s">
        <v>2368</v>
      </c>
      <c r="C175" s="257" t="s">
        <v>1581</v>
      </c>
      <c r="D175" s="383">
        <f t="shared" si="2"/>
        <v>3123</v>
      </c>
      <c r="E175" s="384">
        <v>3123000</v>
      </c>
    </row>
    <row r="176" spans="1:5" ht="12.75" customHeight="1">
      <c r="A176" s="1076"/>
      <c r="B176" s="257" t="s">
        <v>2369</v>
      </c>
      <c r="C176" s="257" t="s">
        <v>1581</v>
      </c>
      <c r="D176" s="383">
        <f t="shared" si="2"/>
        <v>1078</v>
      </c>
      <c r="E176" s="384">
        <v>1078000</v>
      </c>
    </row>
    <row r="177" spans="1:5" ht="12.75" customHeight="1">
      <c r="A177" s="1076"/>
      <c r="B177" s="257" t="s">
        <v>2370</v>
      </c>
      <c r="C177" s="257" t="s">
        <v>1581</v>
      </c>
      <c r="D177" s="383">
        <f t="shared" si="2"/>
        <v>546</v>
      </c>
      <c r="E177" s="384">
        <v>546000</v>
      </c>
    </row>
    <row r="178" spans="1:5" ht="12.75" customHeight="1">
      <c r="A178" s="1041" t="s">
        <v>2371</v>
      </c>
      <c r="B178" s="257" t="s">
        <v>2372</v>
      </c>
      <c r="C178" s="257" t="s">
        <v>1581</v>
      </c>
      <c r="D178" s="383">
        <f t="shared" si="2"/>
        <v>23473</v>
      </c>
      <c r="E178" s="384">
        <v>23473000</v>
      </c>
    </row>
    <row r="179" spans="1:5" ht="12.75" customHeight="1">
      <c r="A179" s="1041"/>
      <c r="B179" s="257" t="s">
        <v>2373</v>
      </c>
      <c r="C179" s="257" t="s">
        <v>1581</v>
      </c>
      <c r="D179" s="383">
        <f t="shared" si="2"/>
        <v>17463</v>
      </c>
      <c r="E179" s="384">
        <v>17463000</v>
      </c>
    </row>
    <row r="180" spans="1:5" ht="12.75" customHeight="1">
      <c r="A180" s="1041"/>
      <c r="B180" s="257" t="s">
        <v>2374</v>
      </c>
      <c r="C180" s="257" t="s">
        <v>1581</v>
      </c>
      <c r="D180" s="383">
        <f t="shared" si="2"/>
        <v>16507</v>
      </c>
      <c r="E180" s="384">
        <v>16507000</v>
      </c>
    </row>
    <row r="181" spans="1:5" ht="12.75" customHeight="1">
      <c r="A181" s="1041"/>
      <c r="B181" s="257" t="s">
        <v>2375</v>
      </c>
      <c r="C181" s="257" t="s">
        <v>1581</v>
      </c>
      <c r="D181" s="383">
        <f t="shared" si="2"/>
        <v>19001</v>
      </c>
      <c r="E181" s="384">
        <v>19001000</v>
      </c>
    </row>
    <row r="182" spans="1:5" ht="12.75" customHeight="1">
      <c r="A182" s="1041"/>
      <c r="B182" s="257" t="s">
        <v>2376</v>
      </c>
      <c r="C182" s="257" t="s">
        <v>1581</v>
      </c>
      <c r="D182" s="383">
        <f t="shared" si="2"/>
        <v>12831</v>
      </c>
      <c r="E182" s="384">
        <v>12831000</v>
      </c>
    </row>
    <row r="183" spans="1:5" ht="12.75" customHeight="1">
      <c r="A183" s="1041"/>
      <c r="B183" s="257" t="s">
        <v>2377</v>
      </c>
      <c r="C183" s="257" t="s">
        <v>1581</v>
      </c>
      <c r="D183" s="383">
        <f t="shared" si="2"/>
        <v>13518</v>
      </c>
      <c r="E183" s="384">
        <v>13518000</v>
      </c>
    </row>
    <row r="184" spans="1:5" ht="12.75" customHeight="1">
      <c r="A184" s="1041"/>
      <c r="B184" s="257" t="s">
        <v>2378</v>
      </c>
      <c r="C184" s="257" t="s">
        <v>1581</v>
      </c>
      <c r="D184" s="383">
        <f t="shared" si="2"/>
        <v>16172</v>
      </c>
      <c r="E184" s="384">
        <v>16172000</v>
      </c>
    </row>
    <row r="185" spans="1:5" ht="12.75" customHeight="1">
      <c r="A185" s="1041"/>
      <c r="B185" s="257" t="s">
        <v>2379</v>
      </c>
      <c r="C185" s="257" t="s">
        <v>1581</v>
      </c>
      <c r="D185" s="383">
        <f t="shared" si="2"/>
        <v>12936</v>
      </c>
      <c r="E185" s="384">
        <v>12936000</v>
      </c>
    </row>
    <row r="186" spans="1:5" ht="12.75" customHeight="1">
      <c r="A186" s="1041"/>
      <c r="B186" s="257" t="s">
        <v>2380</v>
      </c>
      <c r="C186" s="257" t="s">
        <v>1581</v>
      </c>
      <c r="D186" s="383">
        <f t="shared" si="2"/>
        <v>13725</v>
      </c>
      <c r="E186" s="384">
        <v>13725000</v>
      </c>
    </row>
    <row r="187" spans="1:5" ht="12.75" customHeight="1">
      <c r="A187" s="1041"/>
      <c r="B187" s="257" t="s">
        <v>2381</v>
      </c>
      <c r="C187" s="257" t="s">
        <v>1581</v>
      </c>
      <c r="D187" s="383">
        <f t="shared" si="2"/>
        <v>15745</v>
      </c>
      <c r="E187" s="384">
        <v>15745000</v>
      </c>
    </row>
    <row r="188" spans="1:5" ht="12.75" customHeight="1">
      <c r="A188" s="1041"/>
      <c r="B188" s="257" t="s">
        <v>2382</v>
      </c>
      <c r="C188" s="257" t="s">
        <v>1581</v>
      </c>
      <c r="D188" s="383">
        <f t="shared" si="2"/>
        <v>25610</v>
      </c>
      <c r="E188" s="384">
        <v>25610000</v>
      </c>
    </row>
    <row r="189" spans="1:5" ht="12.75" customHeight="1">
      <c r="A189" s="1041"/>
      <c r="B189" s="257" t="s">
        <v>2383</v>
      </c>
      <c r="C189" s="257" t="s">
        <v>1581</v>
      </c>
      <c r="D189" s="383">
        <f t="shared" si="2"/>
        <v>13015</v>
      </c>
      <c r="E189" s="384">
        <v>13015000</v>
      </c>
    </row>
    <row r="190" spans="1:5" ht="12.75" customHeight="1">
      <c r="A190" s="1041"/>
      <c r="B190" s="257" t="s">
        <v>2384</v>
      </c>
      <c r="C190" s="257" t="s">
        <v>1581</v>
      </c>
      <c r="D190" s="383">
        <f t="shared" si="2"/>
        <v>15326</v>
      </c>
      <c r="E190" s="384">
        <v>15326000</v>
      </c>
    </row>
    <row r="191" spans="1:5" ht="12.75" customHeight="1">
      <c r="A191" s="1041"/>
      <c r="B191" s="257" t="s">
        <v>2385</v>
      </c>
      <c r="C191" s="257" t="s">
        <v>1581</v>
      </c>
      <c r="D191" s="383">
        <f t="shared" si="2"/>
        <v>15000</v>
      </c>
      <c r="E191" s="384">
        <v>15000000</v>
      </c>
    </row>
    <row r="192" spans="1:5" ht="12.75" customHeight="1">
      <c r="A192" s="1041"/>
      <c r="B192" s="257" t="s">
        <v>2386</v>
      </c>
      <c r="C192" s="257" t="s">
        <v>1581</v>
      </c>
      <c r="D192" s="383">
        <f t="shared" si="2"/>
        <v>15206</v>
      </c>
      <c r="E192" s="384">
        <v>15206000</v>
      </c>
    </row>
    <row r="193" spans="1:5" ht="12.75" customHeight="1">
      <c r="A193" s="1041"/>
      <c r="B193" s="257" t="s">
        <v>2387</v>
      </c>
      <c r="C193" s="257" t="s">
        <v>1581</v>
      </c>
      <c r="D193" s="383">
        <f t="shared" si="2"/>
        <v>21485</v>
      </c>
      <c r="E193" s="384">
        <v>21485000</v>
      </c>
    </row>
    <row r="194" spans="1:5" ht="12.75" customHeight="1">
      <c r="A194" s="1041"/>
      <c r="B194" s="257" t="s">
        <v>2388</v>
      </c>
      <c r="C194" s="257" t="s">
        <v>1581</v>
      </c>
      <c r="D194" s="383">
        <f t="shared" si="2"/>
        <v>19512</v>
      </c>
      <c r="E194" s="384">
        <v>19512000</v>
      </c>
    </row>
    <row r="195" spans="1:5" ht="12.75" customHeight="1">
      <c r="A195" s="1041"/>
      <c r="B195" s="257" t="s">
        <v>2389</v>
      </c>
      <c r="C195" s="257" t="s">
        <v>1581</v>
      </c>
      <c r="D195" s="383">
        <f t="shared" si="2"/>
        <v>22387</v>
      </c>
      <c r="E195" s="384">
        <v>22387000</v>
      </c>
    </row>
    <row r="196" spans="1:5" ht="12.75" customHeight="1">
      <c r="A196" s="1041"/>
      <c r="B196" s="257" t="s">
        <v>2390</v>
      </c>
      <c r="C196" s="257" t="s">
        <v>1581</v>
      </c>
      <c r="D196" s="383">
        <f t="shared" si="2"/>
        <v>17441</v>
      </c>
      <c r="E196" s="384">
        <v>17441000</v>
      </c>
    </row>
    <row r="197" spans="1:5" ht="12.75" customHeight="1">
      <c r="A197" s="1041"/>
      <c r="B197" s="257" t="s">
        <v>2391</v>
      </c>
      <c r="C197" s="257" t="s">
        <v>1581</v>
      </c>
      <c r="D197" s="383">
        <f t="shared" ref="D197:D260" si="3">E197/1000</f>
        <v>13184</v>
      </c>
      <c r="E197" s="384">
        <v>13184000</v>
      </c>
    </row>
    <row r="198" spans="1:5" ht="12.75" customHeight="1">
      <c r="A198" s="1041"/>
      <c r="B198" s="257" t="s">
        <v>2392</v>
      </c>
      <c r="C198" s="257" t="s">
        <v>1581</v>
      </c>
      <c r="D198" s="383">
        <f t="shared" si="3"/>
        <v>22915</v>
      </c>
      <c r="E198" s="384">
        <v>22915000</v>
      </c>
    </row>
    <row r="199" spans="1:5" ht="12.75" customHeight="1">
      <c r="A199" s="1041"/>
      <c r="B199" s="257" t="s">
        <v>2393</v>
      </c>
      <c r="C199" s="257" t="s">
        <v>1581</v>
      </c>
      <c r="D199" s="383">
        <f t="shared" si="3"/>
        <v>20418</v>
      </c>
      <c r="E199" s="384">
        <v>20418000</v>
      </c>
    </row>
    <row r="200" spans="1:5" ht="12.75" customHeight="1">
      <c r="A200" s="1041"/>
      <c r="B200" s="257" t="s">
        <v>2394</v>
      </c>
      <c r="C200" s="257" t="s">
        <v>1581</v>
      </c>
      <c r="D200" s="383">
        <f t="shared" si="3"/>
        <v>11989</v>
      </c>
      <c r="E200" s="384">
        <v>11989000</v>
      </c>
    </row>
    <row r="201" spans="1:5" ht="12.75" customHeight="1">
      <c r="A201" s="1041"/>
      <c r="B201" s="257" t="s">
        <v>2395</v>
      </c>
      <c r="C201" s="257" t="s">
        <v>1581</v>
      </c>
      <c r="D201" s="383">
        <f t="shared" si="3"/>
        <v>5236</v>
      </c>
      <c r="E201" s="384">
        <v>5236000</v>
      </c>
    </row>
    <row r="202" spans="1:5" ht="12.75" customHeight="1">
      <c r="A202" s="1041"/>
      <c r="B202" s="257" t="s">
        <v>2396</v>
      </c>
      <c r="C202" s="257" t="s">
        <v>1581</v>
      </c>
      <c r="D202" s="383">
        <f t="shared" si="3"/>
        <v>7359</v>
      </c>
      <c r="E202" s="384">
        <v>7359000</v>
      </c>
    </row>
    <row r="203" spans="1:5" ht="12.75" customHeight="1">
      <c r="A203" s="1041"/>
      <c r="B203" s="257" t="s">
        <v>2397</v>
      </c>
      <c r="C203" s="257" t="s">
        <v>1581</v>
      </c>
      <c r="D203" s="383">
        <f t="shared" si="3"/>
        <v>4667</v>
      </c>
      <c r="E203" s="384">
        <v>4667000</v>
      </c>
    </row>
    <row r="204" spans="1:5" ht="12.75" customHeight="1">
      <c r="A204" s="1041"/>
      <c r="B204" s="257" t="s">
        <v>2398</v>
      </c>
      <c r="C204" s="257" t="s">
        <v>1581</v>
      </c>
      <c r="D204" s="383">
        <f t="shared" si="3"/>
        <v>1594</v>
      </c>
      <c r="E204" s="384">
        <v>1594000</v>
      </c>
    </row>
    <row r="205" spans="1:5" ht="12.75" customHeight="1">
      <c r="A205" s="1041"/>
      <c r="B205" s="257" t="s">
        <v>2399</v>
      </c>
      <c r="C205" s="257" t="s">
        <v>1581</v>
      </c>
      <c r="D205" s="383">
        <f t="shared" si="3"/>
        <v>2999</v>
      </c>
      <c r="E205" s="384">
        <v>2999000</v>
      </c>
    </row>
    <row r="206" spans="1:5" ht="12.75" customHeight="1">
      <c r="A206" s="1041"/>
      <c r="B206" s="257" t="s">
        <v>2400</v>
      </c>
      <c r="C206" s="257" t="s">
        <v>1581</v>
      </c>
      <c r="D206" s="383">
        <f t="shared" si="3"/>
        <v>2028</v>
      </c>
      <c r="E206" s="384">
        <v>2028000</v>
      </c>
    </row>
    <row r="207" spans="1:5" ht="12.75" customHeight="1">
      <c r="A207" s="1041"/>
      <c r="B207" s="257" t="s">
        <v>2401</v>
      </c>
      <c r="C207" s="257" t="s">
        <v>1581</v>
      </c>
      <c r="D207" s="383">
        <f t="shared" si="3"/>
        <v>3684</v>
      </c>
      <c r="E207" s="384">
        <v>3684000</v>
      </c>
    </row>
    <row r="208" spans="1:5" ht="12.75" customHeight="1">
      <c r="A208" s="1041"/>
      <c r="B208" s="257" t="s">
        <v>2402</v>
      </c>
      <c r="C208" s="257" t="s">
        <v>1581</v>
      </c>
      <c r="D208" s="383">
        <f t="shared" si="3"/>
        <v>3806</v>
      </c>
      <c r="E208" s="384">
        <v>3806000</v>
      </c>
    </row>
    <row r="209" spans="1:5" ht="12.75" customHeight="1">
      <c r="A209" s="1041"/>
      <c r="B209" s="257" t="s">
        <v>2403</v>
      </c>
      <c r="C209" s="257" t="s">
        <v>1581</v>
      </c>
      <c r="D209" s="383">
        <f t="shared" si="3"/>
        <v>7094</v>
      </c>
      <c r="E209" s="384">
        <v>7094000</v>
      </c>
    </row>
    <row r="210" spans="1:5" ht="12.75" customHeight="1">
      <c r="A210" s="1041"/>
      <c r="B210" s="257" t="s">
        <v>2404</v>
      </c>
      <c r="C210" s="257" t="s">
        <v>1581</v>
      </c>
      <c r="D210" s="383">
        <f t="shared" si="3"/>
        <v>1822</v>
      </c>
      <c r="E210" s="384">
        <v>1822000</v>
      </c>
    </row>
    <row r="211" spans="1:5" ht="12.75" customHeight="1">
      <c r="A211" s="1041"/>
      <c r="B211" s="257" t="s">
        <v>2405</v>
      </c>
      <c r="C211" s="257" t="s">
        <v>1581</v>
      </c>
      <c r="D211" s="383">
        <f t="shared" si="3"/>
        <v>3550</v>
      </c>
      <c r="E211" s="384">
        <v>3550000</v>
      </c>
    </row>
    <row r="212" spans="1:5" ht="12.75" customHeight="1">
      <c r="A212" s="1041"/>
      <c r="B212" s="257" t="s">
        <v>2406</v>
      </c>
      <c r="C212" s="257" t="s">
        <v>1581</v>
      </c>
      <c r="D212" s="383">
        <f t="shared" si="3"/>
        <v>2791</v>
      </c>
      <c r="E212" s="384">
        <v>2791000</v>
      </c>
    </row>
    <row r="213" spans="1:5" ht="12.75" customHeight="1">
      <c r="A213" s="1041"/>
      <c r="B213" s="257" t="s">
        <v>2407</v>
      </c>
      <c r="C213" s="257" t="s">
        <v>1581</v>
      </c>
      <c r="D213" s="383">
        <f t="shared" si="3"/>
        <v>5022</v>
      </c>
      <c r="E213" s="384">
        <v>5022000</v>
      </c>
    </row>
    <row r="214" spans="1:5" ht="12.75" customHeight="1">
      <c r="A214" s="1041"/>
      <c r="B214" s="257" t="s">
        <v>2408</v>
      </c>
      <c r="C214" s="257" t="s">
        <v>1581</v>
      </c>
      <c r="D214" s="383">
        <f t="shared" si="3"/>
        <v>3723</v>
      </c>
      <c r="E214" s="384">
        <v>3723000</v>
      </c>
    </row>
    <row r="215" spans="1:5" ht="12.75" customHeight="1">
      <c r="A215" s="1041"/>
      <c r="B215" s="257" t="s">
        <v>2409</v>
      </c>
      <c r="C215" s="257" t="s">
        <v>1581</v>
      </c>
      <c r="D215" s="383">
        <f t="shared" si="3"/>
        <v>2802</v>
      </c>
      <c r="E215" s="384">
        <v>2802000</v>
      </c>
    </row>
    <row r="216" spans="1:5" ht="12.75" customHeight="1">
      <c r="A216" s="1041"/>
      <c r="B216" s="257" t="s">
        <v>2410</v>
      </c>
      <c r="C216" s="257" t="s">
        <v>1581</v>
      </c>
      <c r="D216" s="383">
        <f t="shared" si="3"/>
        <v>3602</v>
      </c>
      <c r="E216" s="384">
        <v>3602000</v>
      </c>
    </row>
    <row r="217" spans="1:5" ht="12.75" customHeight="1">
      <c r="A217" s="1041"/>
      <c r="B217" s="257" t="s">
        <v>2411</v>
      </c>
      <c r="C217" s="257" t="s">
        <v>1581</v>
      </c>
      <c r="D217" s="383">
        <f t="shared" si="3"/>
        <v>5002</v>
      </c>
      <c r="E217" s="384">
        <v>5002000</v>
      </c>
    </row>
    <row r="218" spans="1:5" ht="12.75" customHeight="1">
      <c r="A218" s="1041"/>
      <c r="B218" s="257" t="s">
        <v>2412</v>
      </c>
      <c r="C218" s="257" t="s">
        <v>1581</v>
      </c>
      <c r="D218" s="383">
        <f t="shared" si="3"/>
        <v>1673</v>
      </c>
      <c r="E218" s="384">
        <v>1673000</v>
      </c>
    </row>
    <row r="219" spans="1:5" ht="12.75" customHeight="1">
      <c r="A219" s="1041"/>
      <c r="B219" s="257" t="s">
        <v>2413</v>
      </c>
      <c r="C219" s="257" t="s">
        <v>1581</v>
      </c>
      <c r="D219" s="383">
        <f t="shared" si="3"/>
        <v>3140</v>
      </c>
      <c r="E219" s="384">
        <v>3140000</v>
      </c>
    </row>
    <row r="220" spans="1:5" ht="12.75" customHeight="1">
      <c r="A220" s="1041"/>
      <c r="B220" s="257" t="s">
        <v>2414</v>
      </c>
      <c r="C220" s="257" t="s">
        <v>1581</v>
      </c>
      <c r="D220" s="383">
        <f t="shared" si="3"/>
        <v>3631</v>
      </c>
      <c r="E220" s="384">
        <v>3631000</v>
      </c>
    </row>
    <row r="221" spans="1:5" ht="12.75" customHeight="1">
      <c r="A221" s="1041"/>
      <c r="B221" s="257" t="s">
        <v>2415</v>
      </c>
      <c r="C221" s="257" t="s">
        <v>1581</v>
      </c>
      <c r="D221" s="383">
        <f t="shared" si="3"/>
        <v>1607</v>
      </c>
      <c r="E221" s="384">
        <v>1607000</v>
      </c>
    </row>
    <row r="222" spans="1:5" ht="12.75" customHeight="1">
      <c r="A222" s="1041"/>
      <c r="B222" s="257" t="s">
        <v>2416</v>
      </c>
      <c r="C222" s="257" t="s">
        <v>1581</v>
      </c>
      <c r="D222" s="383">
        <f t="shared" si="3"/>
        <v>1832</v>
      </c>
      <c r="E222" s="384">
        <v>1832000</v>
      </c>
    </row>
    <row r="223" spans="1:5" ht="12.75" customHeight="1">
      <c r="A223" s="1041"/>
      <c r="B223" s="257" t="s">
        <v>2417</v>
      </c>
      <c r="C223" s="257" t="s">
        <v>1581</v>
      </c>
      <c r="D223" s="383">
        <f t="shared" si="3"/>
        <v>3116</v>
      </c>
      <c r="E223" s="384">
        <v>3116000</v>
      </c>
    </row>
    <row r="224" spans="1:5" ht="12.75" customHeight="1">
      <c r="A224" s="1041"/>
      <c r="B224" s="257" t="s">
        <v>2418</v>
      </c>
      <c r="C224" s="257" t="s">
        <v>1581</v>
      </c>
      <c r="D224" s="383">
        <f t="shared" si="3"/>
        <v>2802</v>
      </c>
      <c r="E224" s="384">
        <v>2802000</v>
      </c>
    </row>
    <row r="225" spans="1:5" ht="12.75" customHeight="1">
      <c r="A225" s="1041"/>
      <c r="B225" s="257" t="s">
        <v>2419</v>
      </c>
      <c r="C225" s="257" t="s">
        <v>1581</v>
      </c>
      <c r="D225" s="383">
        <f t="shared" si="3"/>
        <v>1860</v>
      </c>
      <c r="E225" s="384">
        <v>1860000</v>
      </c>
    </row>
    <row r="226" spans="1:5" ht="12.75" customHeight="1">
      <c r="A226" s="1041"/>
      <c r="B226" s="257" t="s">
        <v>2420</v>
      </c>
      <c r="C226" s="257" t="s">
        <v>1581</v>
      </c>
      <c r="D226" s="383">
        <f t="shared" si="3"/>
        <v>2802</v>
      </c>
      <c r="E226" s="384">
        <v>2802000</v>
      </c>
    </row>
    <row r="227" spans="1:5" ht="12.75" customHeight="1">
      <c r="A227" s="1041"/>
      <c r="B227" s="257" t="s">
        <v>2421</v>
      </c>
      <c r="C227" s="257" t="s">
        <v>1581</v>
      </c>
      <c r="D227" s="383">
        <f t="shared" si="3"/>
        <v>3806</v>
      </c>
      <c r="E227" s="384">
        <v>3806000</v>
      </c>
    </row>
    <row r="228" spans="1:5" ht="12.75" customHeight="1">
      <c r="A228" s="1041"/>
      <c r="B228" s="257" t="s">
        <v>2422</v>
      </c>
      <c r="C228" s="257" t="s">
        <v>1581</v>
      </c>
      <c r="D228" s="383">
        <f t="shared" si="3"/>
        <v>3618</v>
      </c>
      <c r="E228" s="384">
        <v>3618000</v>
      </c>
    </row>
    <row r="229" spans="1:5" ht="12.75" customHeight="1">
      <c r="A229" s="1041"/>
      <c r="B229" s="257" t="s">
        <v>2423</v>
      </c>
      <c r="C229" s="257" t="s">
        <v>1581</v>
      </c>
      <c r="D229" s="383">
        <f t="shared" si="3"/>
        <v>3782</v>
      </c>
      <c r="E229" s="384">
        <v>3782000</v>
      </c>
    </row>
    <row r="230" spans="1:5" ht="12.75" customHeight="1">
      <c r="A230" s="1041"/>
      <c r="B230" s="257" t="s">
        <v>2424</v>
      </c>
      <c r="C230" s="257" t="s">
        <v>1581</v>
      </c>
      <c r="D230" s="383">
        <f t="shared" si="3"/>
        <v>5346</v>
      </c>
      <c r="E230" s="384">
        <v>5346000</v>
      </c>
    </row>
    <row r="231" spans="1:5" ht="12.75" customHeight="1">
      <c r="A231" s="1041" t="s">
        <v>2371</v>
      </c>
      <c r="B231" s="257" t="s">
        <v>2425</v>
      </c>
      <c r="C231" s="257" t="s">
        <v>1581</v>
      </c>
      <c r="D231" s="383">
        <f t="shared" si="3"/>
        <v>3539</v>
      </c>
      <c r="E231" s="384">
        <v>3539000</v>
      </c>
    </row>
    <row r="232" spans="1:5" ht="12.75" customHeight="1">
      <c r="A232" s="1041"/>
      <c r="B232" s="257" t="s">
        <v>2426</v>
      </c>
      <c r="C232" s="257" t="s">
        <v>1581</v>
      </c>
      <c r="D232" s="383">
        <f t="shared" si="3"/>
        <v>5734</v>
      </c>
      <c r="E232" s="384">
        <v>5734000</v>
      </c>
    </row>
    <row r="233" spans="1:5" ht="12.75" customHeight="1">
      <c r="A233" s="1041"/>
      <c r="B233" s="257" t="s">
        <v>2427</v>
      </c>
      <c r="C233" s="257" t="s">
        <v>1581</v>
      </c>
      <c r="D233" s="383">
        <f t="shared" si="3"/>
        <v>4067</v>
      </c>
      <c r="E233" s="384">
        <v>4067000</v>
      </c>
    </row>
    <row r="234" spans="1:5" ht="12.75" customHeight="1">
      <c r="A234" s="1041"/>
      <c r="B234" s="257" t="s">
        <v>2428</v>
      </c>
      <c r="C234" s="257" t="s">
        <v>1581</v>
      </c>
      <c r="D234" s="383">
        <f t="shared" si="3"/>
        <v>5156</v>
      </c>
      <c r="E234" s="384">
        <v>5156000</v>
      </c>
    </row>
    <row r="235" spans="1:5" ht="12.75" customHeight="1">
      <c r="A235" s="1041"/>
      <c r="B235" s="257" t="s">
        <v>2429</v>
      </c>
      <c r="C235" s="257" t="s">
        <v>1581</v>
      </c>
      <c r="D235" s="383">
        <f t="shared" si="3"/>
        <v>10174</v>
      </c>
      <c r="E235" s="384">
        <v>10174000</v>
      </c>
    </row>
    <row r="236" spans="1:5" ht="12.75" customHeight="1">
      <c r="A236" s="1041"/>
      <c r="B236" s="257" t="s">
        <v>2430</v>
      </c>
      <c r="C236" s="257" t="s">
        <v>1581</v>
      </c>
      <c r="D236" s="383">
        <f t="shared" si="3"/>
        <v>9597</v>
      </c>
      <c r="E236" s="384">
        <v>9597000</v>
      </c>
    </row>
    <row r="237" spans="1:5" ht="12.75" customHeight="1">
      <c r="A237" s="1041"/>
      <c r="B237" s="257" t="s">
        <v>2431</v>
      </c>
      <c r="C237" s="257" t="s">
        <v>1581</v>
      </c>
      <c r="D237" s="383">
        <f t="shared" si="3"/>
        <v>4256</v>
      </c>
      <c r="E237" s="384">
        <v>4256000</v>
      </c>
    </row>
    <row r="238" spans="1:5" ht="12.75" customHeight="1">
      <c r="A238" s="1041"/>
      <c r="B238" s="257" t="s">
        <v>2432</v>
      </c>
      <c r="C238" s="257" t="s">
        <v>1581</v>
      </c>
      <c r="D238" s="383">
        <f t="shared" si="3"/>
        <v>5543</v>
      </c>
      <c r="E238" s="384">
        <v>5543000</v>
      </c>
    </row>
    <row r="239" spans="1:5" ht="12.75" customHeight="1">
      <c r="A239" s="1041"/>
      <c r="B239" s="257" t="s">
        <v>2433</v>
      </c>
      <c r="C239" s="257" t="s">
        <v>1581</v>
      </c>
      <c r="D239" s="383">
        <f t="shared" si="3"/>
        <v>2628</v>
      </c>
      <c r="E239" s="384">
        <v>2628000</v>
      </c>
    </row>
    <row r="240" spans="1:5" ht="12.75" customHeight="1">
      <c r="A240" s="1041"/>
      <c r="B240" s="257" t="s">
        <v>2434</v>
      </c>
      <c r="C240" s="257" t="s">
        <v>1581</v>
      </c>
      <c r="D240" s="383">
        <f t="shared" si="3"/>
        <v>4704</v>
      </c>
      <c r="E240" s="384">
        <v>4704000</v>
      </c>
    </row>
    <row r="241" spans="1:5" ht="12.75" customHeight="1">
      <c r="A241" s="1041"/>
      <c r="B241" s="257" t="s">
        <v>2435</v>
      </c>
      <c r="C241" s="257" t="s">
        <v>1581</v>
      </c>
      <c r="D241" s="383">
        <f t="shared" si="3"/>
        <v>6970</v>
      </c>
      <c r="E241" s="384">
        <v>6970000</v>
      </c>
    </row>
    <row r="242" spans="1:5" ht="12.75" customHeight="1">
      <c r="A242" s="1041"/>
      <c r="B242" s="257" t="s">
        <v>2436</v>
      </c>
      <c r="C242" s="257" t="s">
        <v>1581</v>
      </c>
      <c r="D242" s="383">
        <f t="shared" si="3"/>
        <v>4303</v>
      </c>
      <c r="E242" s="384">
        <v>4303000</v>
      </c>
    </row>
    <row r="243" spans="1:5" ht="12.75" customHeight="1">
      <c r="A243" s="1041"/>
      <c r="B243" s="257" t="s">
        <v>2437</v>
      </c>
      <c r="C243" s="257" t="s">
        <v>1581</v>
      </c>
      <c r="D243" s="383">
        <f t="shared" si="3"/>
        <v>5846</v>
      </c>
      <c r="E243" s="384">
        <v>5846000</v>
      </c>
    </row>
    <row r="244" spans="1:5" ht="12.75" customHeight="1">
      <c r="A244" s="1041"/>
      <c r="B244" s="257" t="s">
        <v>2438</v>
      </c>
      <c r="C244" s="257" t="s">
        <v>1581</v>
      </c>
      <c r="D244" s="383">
        <f t="shared" si="3"/>
        <v>7152</v>
      </c>
      <c r="E244" s="384">
        <v>7152000</v>
      </c>
    </row>
    <row r="245" spans="1:5" ht="12.75" customHeight="1">
      <c r="A245" s="1043" t="s">
        <v>2439</v>
      </c>
      <c r="B245" s="257" t="s">
        <v>2440</v>
      </c>
      <c r="C245" s="257" t="s">
        <v>1581</v>
      </c>
      <c r="D245" s="383">
        <f t="shared" si="3"/>
        <v>1104</v>
      </c>
      <c r="E245" s="384">
        <v>1104000</v>
      </c>
    </row>
    <row r="246" spans="1:5" ht="12.75" customHeight="1">
      <c r="A246" s="1047"/>
      <c r="B246" s="257" t="s">
        <v>2441</v>
      </c>
      <c r="C246" s="257" t="s">
        <v>1581</v>
      </c>
      <c r="D246" s="383">
        <f t="shared" si="3"/>
        <v>4208</v>
      </c>
      <c r="E246" s="384">
        <v>4208000</v>
      </c>
    </row>
    <row r="247" spans="1:5" ht="12.75" customHeight="1">
      <c r="A247" s="1047"/>
      <c r="B247" s="257" t="s">
        <v>2442</v>
      </c>
      <c r="C247" s="257" t="s">
        <v>1581</v>
      </c>
      <c r="D247" s="383">
        <f t="shared" si="3"/>
        <v>2943</v>
      </c>
      <c r="E247" s="384">
        <v>2943000</v>
      </c>
    </row>
    <row r="248" spans="1:5" ht="12.75" customHeight="1">
      <c r="A248" s="1047"/>
      <c r="B248" s="257" t="s">
        <v>2443</v>
      </c>
      <c r="C248" s="257" t="s">
        <v>1581</v>
      </c>
      <c r="D248" s="383">
        <f t="shared" si="3"/>
        <v>8614</v>
      </c>
      <c r="E248" s="384">
        <v>8614000</v>
      </c>
    </row>
    <row r="249" spans="1:5" ht="12.75" customHeight="1">
      <c r="A249" s="1047"/>
      <c r="B249" s="257" t="s">
        <v>2444</v>
      </c>
      <c r="C249" s="257" t="s">
        <v>1581</v>
      </c>
      <c r="D249" s="383">
        <f t="shared" si="3"/>
        <v>2801</v>
      </c>
      <c r="E249" s="384">
        <v>2801000</v>
      </c>
    </row>
    <row r="250" spans="1:5" ht="12.75" customHeight="1">
      <c r="A250" s="1047"/>
      <c r="B250" s="257" t="s">
        <v>2445</v>
      </c>
      <c r="C250" s="257" t="s">
        <v>1581</v>
      </c>
      <c r="D250" s="383">
        <f t="shared" si="3"/>
        <v>2362</v>
      </c>
      <c r="E250" s="384">
        <v>2362000</v>
      </c>
    </row>
    <row r="251" spans="1:5" ht="12.75" customHeight="1">
      <c r="A251" s="1047"/>
      <c r="B251" s="257" t="s">
        <v>2446</v>
      </c>
      <c r="C251" s="257" t="s">
        <v>1581</v>
      </c>
      <c r="D251" s="383">
        <f t="shared" si="3"/>
        <v>7983</v>
      </c>
      <c r="E251" s="384">
        <v>7983000</v>
      </c>
    </row>
    <row r="252" spans="1:5" ht="12.75" customHeight="1">
      <c r="A252" s="1047"/>
      <c r="B252" s="257" t="s">
        <v>2447</v>
      </c>
      <c r="C252" s="257" t="s">
        <v>1581</v>
      </c>
      <c r="D252" s="383">
        <f t="shared" si="3"/>
        <v>1746</v>
      </c>
      <c r="E252" s="384">
        <v>1746000</v>
      </c>
    </row>
    <row r="253" spans="1:5" ht="12.75" customHeight="1">
      <c r="A253" s="1047"/>
      <c r="B253" s="257" t="s">
        <v>2448</v>
      </c>
      <c r="C253" s="257" t="s">
        <v>1581</v>
      </c>
      <c r="D253" s="383">
        <f t="shared" si="3"/>
        <v>885</v>
      </c>
      <c r="E253" s="384">
        <v>885000</v>
      </c>
    </row>
    <row r="254" spans="1:5" ht="12.75" customHeight="1">
      <c r="A254" s="1047"/>
      <c r="B254" s="257" t="s">
        <v>2449</v>
      </c>
      <c r="C254" s="257" t="s">
        <v>1581</v>
      </c>
      <c r="D254" s="383">
        <f t="shared" si="3"/>
        <v>27962</v>
      </c>
      <c r="E254" s="384">
        <v>27962000</v>
      </c>
    </row>
    <row r="255" spans="1:5" ht="12.75" customHeight="1">
      <c r="A255" s="1047"/>
      <c r="B255" s="257" t="s">
        <v>2450</v>
      </c>
      <c r="C255" s="257" t="s">
        <v>1581</v>
      </c>
      <c r="D255" s="383">
        <f t="shared" si="3"/>
        <v>6486</v>
      </c>
      <c r="E255" s="384">
        <v>6486000</v>
      </c>
    </row>
    <row r="256" spans="1:5" ht="12.75" customHeight="1">
      <c r="A256" s="1047"/>
      <c r="B256" s="257" t="s">
        <v>2451</v>
      </c>
      <c r="C256" s="257" t="s">
        <v>1581</v>
      </c>
      <c r="D256" s="383">
        <f t="shared" si="3"/>
        <v>3222</v>
      </c>
      <c r="E256" s="384">
        <v>3222000</v>
      </c>
    </row>
    <row r="257" spans="1:5" ht="12.75" customHeight="1">
      <c r="A257" s="1047"/>
      <c r="B257" s="257" t="s">
        <v>2452</v>
      </c>
      <c r="C257" s="257" t="s">
        <v>1581</v>
      </c>
      <c r="D257" s="383">
        <f t="shared" si="3"/>
        <v>2539</v>
      </c>
      <c r="E257" s="384">
        <v>2539000</v>
      </c>
    </row>
    <row r="258" spans="1:5" ht="12.75" customHeight="1">
      <c r="A258" s="1047"/>
      <c r="B258" s="257" t="s">
        <v>2453</v>
      </c>
      <c r="C258" s="257" t="s">
        <v>1581</v>
      </c>
      <c r="D258" s="383">
        <f t="shared" si="3"/>
        <v>5681</v>
      </c>
      <c r="E258" s="384">
        <v>5681000</v>
      </c>
    </row>
    <row r="259" spans="1:5" ht="12.75" customHeight="1">
      <c r="A259" s="1047"/>
      <c r="B259" s="257" t="s">
        <v>2454</v>
      </c>
      <c r="C259" s="257" t="s">
        <v>1581</v>
      </c>
      <c r="D259" s="383">
        <f t="shared" si="3"/>
        <v>1227</v>
      </c>
      <c r="E259" s="384">
        <v>1227000</v>
      </c>
    </row>
    <row r="260" spans="1:5" ht="12.75" customHeight="1">
      <c r="A260" s="1047"/>
      <c r="B260" s="257" t="s">
        <v>2455</v>
      </c>
      <c r="C260" s="257" t="s">
        <v>1581</v>
      </c>
      <c r="D260" s="383">
        <f t="shared" si="3"/>
        <v>1121</v>
      </c>
      <c r="E260" s="384">
        <v>1121000</v>
      </c>
    </row>
    <row r="261" spans="1:5" ht="12.75" customHeight="1">
      <c r="A261" s="1047"/>
      <c r="B261" s="257" t="s">
        <v>2456</v>
      </c>
      <c r="C261" s="257" t="s">
        <v>1581</v>
      </c>
      <c r="D261" s="383">
        <f t="shared" ref="D261:D324" si="4">E261/1000</f>
        <v>1531</v>
      </c>
      <c r="E261" s="384">
        <v>1531000</v>
      </c>
    </row>
    <row r="262" spans="1:5" ht="12.75" customHeight="1">
      <c r="A262" s="1047"/>
      <c r="B262" s="257" t="s">
        <v>2457</v>
      </c>
      <c r="C262" s="257" t="s">
        <v>1581</v>
      </c>
      <c r="D262" s="383">
        <f t="shared" si="4"/>
        <v>11967</v>
      </c>
      <c r="E262" s="384">
        <v>11967000</v>
      </c>
    </row>
    <row r="263" spans="1:5" ht="12.75" customHeight="1">
      <c r="A263" s="1039"/>
      <c r="B263" s="257" t="s">
        <v>2458</v>
      </c>
      <c r="C263" s="257" t="s">
        <v>1581</v>
      </c>
      <c r="D263" s="383">
        <f t="shared" si="4"/>
        <v>4494</v>
      </c>
      <c r="E263" s="384">
        <v>4494000</v>
      </c>
    </row>
    <row r="264" spans="1:5" ht="12.75" customHeight="1">
      <c r="A264" s="1041" t="s">
        <v>2459</v>
      </c>
      <c r="B264" s="257" t="s">
        <v>2460</v>
      </c>
      <c r="C264" s="257" t="s">
        <v>1581</v>
      </c>
      <c r="D264" s="383">
        <f t="shared" si="4"/>
        <v>11069</v>
      </c>
      <c r="E264" s="384">
        <v>11069000</v>
      </c>
    </row>
    <row r="265" spans="1:5" ht="12.75" customHeight="1">
      <c r="A265" s="1041"/>
      <c r="B265" s="257" t="s">
        <v>2461</v>
      </c>
      <c r="C265" s="257" t="s">
        <v>1581</v>
      </c>
      <c r="D265" s="383">
        <f t="shared" si="4"/>
        <v>2425</v>
      </c>
      <c r="E265" s="384">
        <v>2425000</v>
      </c>
    </row>
    <row r="266" spans="1:5" ht="12.75" customHeight="1">
      <c r="A266" s="1041"/>
      <c r="B266" s="257" t="s">
        <v>2462</v>
      </c>
      <c r="C266" s="257" t="s">
        <v>1581</v>
      </c>
      <c r="D266" s="383">
        <f t="shared" si="4"/>
        <v>1761</v>
      </c>
      <c r="E266" s="384">
        <v>1761000</v>
      </c>
    </row>
    <row r="267" spans="1:5" ht="12.75" customHeight="1">
      <c r="A267" s="1041"/>
      <c r="B267" s="257" t="s">
        <v>2463</v>
      </c>
      <c r="C267" s="257" t="s">
        <v>1581</v>
      </c>
      <c r="D267" s="383">
        <f t="shared" si="4"/>
        <v>2992</v>
      </c>
      <c r="E267" s="384">
        <v>2992000</v>
      </c>
    </row>
    <row r="268" spans="1:5" ht="12.75" customHeight="1">
      <c r="A268" s="1041"/>
      <c r="B268" s="257" t="s">
        <v>2464</v>
      </c>
      <c r="C268" s="257" t="s">
        <v>1581</v>
      </c>
      <c r="D268" s="383">
        <f t="shared" si="4"/>
        <v>4558</v>
      </c>
      <c r="E268" s="384">
        <v>4558000</v>
      </c>
    </row>
    <row r="269" spans="1:5" ht="12.75" customHeight="1">
      <c r="A269" s="1041"/>
      <c r="B269" s="257" t="s">
        <v>2465</v>
      </c>
      <c r="C269" s="257" t="s">
        <v>1581</v>
      </c>
      <c r="D269" s="383">
        <f t="shared" si="4"/>
        <v>12665</v>
      </c>
      <c r="E269" s="384">
        <v>12665000</v>
      </c>
    </row>
    <row r="270" spans="1:5" ht="12.75" customHeight="1">
      <c r="A270" s="1041"/>
      <c r="B270" s="257" t="s">
        <v>2466</v>
      </c>
      <c r="C270" s="257" t="s">
        <v>1581</v>
      </c>
      <c r="D270" s="383">
        <f t="shared" si="4"/>
        <v>2632</v>
      </c>
      <c r="E270" s="384">
        <v>2632000</v>
      </c>
    </row>
    <row r="271" spans="1:5" ht="12.75" customHeight="1">
      <c r="A271" s="1041"/>
      <c r="B271" s="257" t="s">
        <v>2467</v>
      </c>
      <c r="C271" s="257" t="s">
        <v>1581</v>
      </c>
      <c r="D271" s="383">
        <f t="shared" si="4"/>
        <v>2489</v>
      </c>
      <c r="E271" s="384">
        <v>2489000</v>
      </c>
    </row>
    <row r="272" spans="1:5" ht="12.75" customHeight="1">
      <c r="A272" s="1041"/>
      <c r="B272" s="257" t="s">
        <v>2468</v>
      </c>
      <c r="C272" s="257" t="s">
        <v>1581</v>
      </c>
      <c r="D272" s="383">
        <f t="shared" si="4"/>
        <v>1028</v>
      </c>
      <c r="E272" s="384">
        <v>1028000</v>
      </c>
    </row>
    <row r="273" spans="1:5" ht="12.75" customHeight="1">
      <c r="A273" s="1041"/>
      <c r="B273" s="257" t="s">
        <v>2469</v>
      </c>
      <c r="C273" s="257" t="s">
        <v>1581</v>
      </c>
      <c r="D273" s="383">
        <f t="shared" si="4"/>
        <v>10936</v>
      </c>
      <c r="E273" s="384">
        <v>10936000</v>
      </c>
    </row>
    <row r="274" spans="1:5" ht="12.75" customHeight="1">
      <c r="A274" s="1041"/>
      <c r="B274" s="257" t="s">
        <v>2470</v>
      </c>
      <c r="C274" s="257" t="s">
        <v>1581</v>
      </c>
      <c r="D274" s="383">
        <f t="shared" si="4"/>
        <v>2753</v>
      </c>
      <c r="E274" s="384">
        <v>2753000</v>
      </c>
    </row>
    <row r="275" spans="1:5" ht="12.75" customHeight="1">
      <c r="A275" s="1041"/>
      <c r="B275" s="257" t="s">
        <v>2471</v>
      </c>
      <c r="C275" s="257" t="s">
        <v>1581</v>
      </c>
      <c r="D275" s="383">
        <f t="shared" si="4"/>
        <v>7591</v>
      </c>
      <c r="E275" s="384">
        <v>7591000</v>
      </c>
    </row>
    <row r="276" spans="1:5" ht="12.75" customHeight="1">
      <c r="A276" s="1041"/>
      <c r="B276" s="257" t="s">
        <v>2472</v>
      </c>
      <c r="C276" s="257" t="s">
        <v>1581</v>
      </c>
      <c r="D276" s="383">
        <f t="shared" si="4"/>
        <v>1703</v>
      </c>
      <c r="E276" s="384">
        <v>1703000</v>
      </c>
    </row>
    <row r="277" spans="1:5" ht="12.75" customHeight="1">
      <c r="A277" s="1041"/>
      <c r="B277" s="257" t="s">
        <v>2473</v>
      </c>
      <c r="C277" s="257" t="s">
        <v>1581</v>
      </c>
      <c r="D277" s="383">
        <f t="shared" si="4"/>
        <v>5716</v>
      </c>
      <c r="E277" s="384">
        <v>5716000</v>
      </c>
    </row>
    <row r="278" spans="1:5" ht="12.75" customHeight="1">
      <c r="A278" s="1041"/>
      <c r="B278" s="257" t="s">
        <v>2474</v>
      </c>
      <c r="C278" s="257" t="s">
        <v>1581</v>
      </c>
      <c r="D278" s="383">
        <f t="shared" si="4"/>
        <v>1038</v>
      </c>
      <c r="E278" s="384">
        <v>1038000</v>
      </c>
    </row>
    <row r="279" spans="1:5" ht="12.75" customHeight="1">
      <c r="A279" s="1041"/>
      <c r="B279" s="257" t="s">
        <v>2475</v>
      </c>
      <c r="C279" s="257" t="s">
        <v>1581</v>
      </c>
      <c r="D279" s="383">
        <f t="shared" si="4"/>
        <v>9453</v>
      </c>
      <c r="E279" s="384">
        <v>9453000</v>
      </c>
    </row>
    <row r="280" spans="1:5" ht="12.75" customHeight="1">
      <c r="A280" s="1041"/>
      <c r="B280" s="257" t="s">
        <v>2476</v>
      </c>
      <c r="C280" s="257" t="s">
        <v>1581</v>
      </c>
      <c r="D280" s="383">
        <f t="shared" si="4"/>
        <v>2750</v>
      </c>
      <c r="E280" s="384">
        <v>2750000</v>
      </c>
    </row>
    <row r="281" spans="1:5" ht="12.75" customHeight="1">
      <c r="A281" s="1041"/>
      <c r="B281" s="257" t="s">
        <v>2477</v>
      </c>
      <c r="C281" s="257" t="s">
        <v>1581</v>
      </c>
      <c r="D281" s="383">
        <f t="shared" si="4"/>
        <v>11992</v>
      </c>
      <c r="E281" s="384">
        <v>11992000</v>
      </c>
    </row>
    <row r="282" spans="1:5" ht="12.75" customHeight="1">
      <c r="A282" s="1041"/>
      <c r="B282" s="257" t="s">
        <v>2478</v>
      </c>
      <c r="C282" s="257" t="s">
        <v>1581</v>
      </c>
      <c r="D282" s="383">
        <f t="shared" si="4"/>
        <v>8534</v>
      </c>
      <c r="E282" s="384">
        <v>8534000</v>
      </c>
    </row>
    <row r="283" spans="1:5" ht="12.75" customHeight="1">
      <c r="A283" s="1041"/>
      <c r="B283" s="257" t="s">
        <v>2479</v>
      </c>
      <c r="C283" s="257" t="s">
        <v>1581</v>
      </c>
      <c r="D283" s="383">
        <f t="shared" si="4"/>
        <v>23177</v>
      </c>
      <c r="E283" s="384">
        <v>23177000</v>
      </c>
    </row>
    <row r="284" spans="1:5" ht="12.75" customHeight="1">
      <c r="A284" s="1041"/>
      <c r="B284" s="257" t="s">
        <v>2480</v>
      </c>
      <c r="C284" s="257" t="s">
        <v>1581</v>
      </c>
      <c r="D284" s="383">
        <f t="shared" si="4"/>
        <v>8316</v>
      </c>
      <c r="E284" s="384">
        <v>8316000</v>
      </c>
    </row>
    <row r="285" spans="1:5" ht="12.75" customHeight="1">
      <c r="A285" s="1041"/>
      <c r="B285" s="257" t="s">
        <v>2481</v>
      </c>
      <c r="C285" s="257" t="s">
        <v>1581</v>
      </c>
      <c r="D285" s="383">
        <f t="shared" si="4"/>
        <v>6872</v>
      </c>
      <c r="E285" s="384">
        <v>6872000</v>
      </c>
    </row>
    <row r="286" spans="1:5" ht="12.75" customHeight="1">
      <c r="A286" s="1041"/>
      <c r="B286" s="257" t="s">
        <v>2482</v>
      </c>
      <c r="C286" s="257" t="s">
        <v>1581</v>
      </c>
      <c r="D286" s="383">
        <f t="shared" si="4"/>
        <v>1732</v>
      </c>
      <c r="E286" s="384">
        <v>1732000</v>
      </c>
    </row>
    <row r="287" spans="1:5" ht="12.75" customHeight="1">
      <c r="A287" s="1041"/>
      <c r="B287" s="257" t="s">
        <v>2483</v>
      </c>
      <c r="C287" s="257" t="s">
        <v>1581</v>
      </c>
      <c r="D287" s="383">
        <f t="shared" si="4"/>
        <v>2885</v>
      </c>
      <c r="E287" s="384">
        <v>2885000</v>
      </c>
    </row>
    <row r="288" spans="1:5" ht="12.75" customHeight="1">
      <c r="A288" s="1041"/>
      <c r="B288" s="257" t="s">
        <v>2484</v>
      </c>
      <c r="C288" s="257" t="s">
        <v>1581</v>
      </c>
      <c r="D288" s="383">
        <f t="shared" si="4"/>
        <v>9916</v>
      </c>
      <c r="E288" s="384">
        <v>9916000</v>
      </c>
    </row>
    <row r="289" spans="1:5" ht="12.75" customHeight="1">
      <c r="A289" s="1041"/>
      <c r="B289" s="257" t="s">
        <v>2485</v>
      </c>
      <c r="C289" s="257" t="s">
        <v>1581</v>
      </c>
      <c r="D289" s="383">
        <f t="shared" si="4"/>
        <v>2952</v>
      </c>
      <c r="E289" s="384">
        <v>2952000</v>
      </c>
    </row>
    <row r="290" spans="1:5" ht="12.75" customHeight="1">
      <c r="A290" s="1041" t="s">
        <v>2459</v>
      </c>
      <c r="B290" s="257" t="s">
        <v>2486</v>
      </c>
      <c r="C290" s="257" t="s">
        <v>1581</v>
      </c>
      <c r="D290" s="383">
        <f t="shared" si="4"/>
        <v>1206</v>
      </c>
      <c r="E290" s="384">
        <v>1206000</v>
      </c>
    </row>
    <row r="291" spans="1:5" ht="12.75" customHeight="1">
      <c r="A291" s="1041"/>
      <c r="B291" s="257" t="s">
        <v>2487</v>
      </c>
      <c r="C291" s="257" t="s">
        <v>1581</v>
      </c>
      <c r="D291" s="383">
        <f t="shared" si="4"/>
        <v>5587</v>
      </c>
      <c r="E291" s="384">
        <v>5587000</v>
      </c>
    </row>
    <row r="292" spans="1:5" ht="12.75" customHeight="1">
      <c r="A292" s="1041"/>
      <c r="B292" s="257" t="s">
        <v>2488</v>
      </c>
      <c r="C292" s="257" t="s">
        <v>1581</v>
      </c>
      <c r="D292" s="383">
        <f t="shared" si="4"/>
        <v>11705</v>
      </c>
      <c r="E292" s="384">
        <v>11705000</v>
      </c>
    </row>
    <row r="293" spans="1:5" ht="12.75" customHeight="1">
      <c r="A293" s="1041"/>
      <c r="B293" s="257" t="s">
        <v>2489</v>
      </c>
      <c r="C293" s="257" t="s">
        <v>1581</v>
      </c>
      <c r="D293" s="383">
        <f t="shared" si="4"/>
        <v>3780</v>
      </c>
      <c r="E293" s="384">
        <v>3780000</v>
      </c>
    </row>
    <row r="294" spans="1:5" ht="12.75" customHeight="1">
      <c r="A294" s="1041"/>
      <c r="B294" s="257" t="s">
        <v>2490</v>
      </c>
      <c r="C294" s="257" t="s">
        <v>1581</v>
      </c>
      <c r="D294" s="383">
        <f t="shared" si="4"/>
        <v>3123</v>
      </c>
      <c r="E294" s="384">
        <v>3123000</v>
      </c>
    </row>
    <row r="295" spans="1:5" ht="12.75" customHeight="1">
      <c r="A295" s="1043" t="s">
        <v>2491</v>
      </c>
      <c r="B295" s="257" t="s">
        <v>2492</v>
      </c>
      <c r="C295" s="257" t="s">
        <v>1581</v>
      </c>
      <c r="D295" s="383">
        <f t="shared" si="4"/>
        <v>1092</v>
      </c>
      <c r="E295" s="384">
        <v>1092000</v>
      </c>
    </row>
    <row r="296" spans="1:5" ht="12.75" customHeight="1">
      <c r="A296" s="1047"/>
      <c r="B296" s="257" t="s">
        <v>2493</v>
      </c>
      <c r="C296" s="257" t="s">
        <v>1581</v>
      </c>
      <c r="D296" s="383">
        <f t="shared" si="4"/>
        <v>17725</v>
      </c>
      <c r="E296" s="384">
        <v>17725000</v>
      </c>
    </row>
    <row r="297" spans="1:5" ht="12.75" customHeight="1">
      <c r="A297" s="1047"/>
      <c r="B297" s="257" t="s">
        <v>2494</v>
      </c>
      <c r="C297" s="257" t="s">
        <v>1581</v>
      </c>
      <c r="D297" s="383">
        <f t="shared" si="4"/>
        <v>4713</v>
      </c>
      <c r="E297" s="384">
        <v>4713000</v>
      </c>
    </row>
    <row r="298" spans="1:5" ht="12.75" customHeight="1">
      <c r="A298" s="1047"/>
      <c r="B298" s="257" t="s">
        <v>2495</v>
      </c>
      <c r="C298" s="257" t="s">
        <v>1581</v>
      </c>
      <c r="D298" s="383">
        <f t="shared" si="4"/>
        <v>4082</v>
      </c>
      <c r="E298" s="384">
        <v>4082000</v>
      </c>
    </row>
    <row r="299" spans="1:5" ht="12.75" customHeight="1">
      <c r="A299" s="1047"/>
      <c r="B299" s="257" t="s">
        <v>2496</v>
      </c>
      <c r="C299" s="257" t="s">
        <v>1581</v>
      </c>
      <c r="D299" s="383">
        <f t="shared" si="4"/>
        <v>5174</v>
      </c>
      <c r="E299" s="384">
        <v>5174000</v>
      </c>
    </row>
    <row r="300" spans="1:5" ht="12.75" customHeight="1">
      <c r="A300" s="1047"/>
      <c r="B300" s="257" t="s">
        <v>2497</v>
      </c>
      <c r="C300" s="257" t="s">
        <v>1581</v>
      </c>
      <c r="D300" s="383">
        <f t="shared" si="4"/>
        <v>18339</v>
      </c>
      <c r="E300" s="384">
        <v>18339000</v>
      </c>
    </row>
    <row r="301" spans="1:5" ht="12.75" customHeight="1">
      <c r="A301" s="1047"/>
      <c r="B301" s="257" t="s">
        <v>2498</v>
      </c>
      <c r="C301" s="257" t="s">
        <v>1581</v>
      </c>
      <c r="D301" s="383">
        <f t="shared" si="4"/>
        <v>6443</v>
      </c>
      <c r="E301" s="384">
        <v>6443000</v>
      </c>
    </row>
    <row r="302" spans="1:5" ht="12.75" customHeight="1">
      <c r="A302" s="1047"/>
      <c r="B302" s="257" t="s">
        <v>2499</v>
      </c>
      <c r="C302" s="257" t="s">
        <v>1581</v>
      </c>
      <c r="D302" s="383">
        <f t="shared" si="4"/>
        <v>2508</v>
      </c>
      <c r="E302" s="384">
        <v>2508000</v>
      </c>
    </row>
    <row r="303" spans="1:5" ht="12.75" customHeight="1">
      <c r="A303" s="1047"/>
      <c r="B303" s="257" t="s">
        <v>2500</v>
      </c>
      <c r="C303" s="257" t="s">
        <v>1581</v>
      </c>
      <c r="D303" s="383">
        <f t="shared" si="4"/>
        <v>2182</v>
      </c>
      <c r="E303" s="384">
        <v>2182000</v>
      </c>
    </row>
    <row r="304" spans="1:5" ht="12.75" customHeight="1">
      <c r="A304" s="1047"/>
      <c r="B304" s="257" t="s">
        <v>2501</v>
      </c>
      <c r="C304" s="257" t="s">
        <v>1581</v>
      </c>
      <c r="D304" s="383">
        <f t="shared" si="4"/>
        <v>8466</v>
      </c>
      <c r="E304" s="384">
        <v>8466000</v>
      </c>
    </row>
    <row r="305" spans="1:5" ht="12.75" customHeight="1">
      <c r="A305" s="1047"/>
      <c r="B305" s="257" t="s">
        <v>2502</v>
      </c>
      <c r="C305" s="257" t="s">
        <v>1581</v>
      </c>
      <c r="D305" s="383">
        <f t="shared" si="4"/>
        <v>3425</v>
      </c>
      <c r="E305" s="384">
        <v>3425000</v>
      </c>
    </row>
    <row r="306" spans="1:5" ht="12.75" customHeight="1">
      <c r="A306" s="1047"/>
      <c r="B306" s="257" t="s">
        <v>2503</v>
      </c>
      <c r="C306" s="257" t="s">
        <v>1581</v>
      </c>
      <c r="D306" s="383">
        <f t="shared" si="4"/>
        <v>18518</v>
      </c>
      <c r="E306" s="384">
        <v>18518000</v>
      </c>
    </row>
    <row r="307" spans="1:5" ht="12.75" customHeight="1">
      <c r="A307" s="1047"/>
      <c r="B307" s="257" t="s">
        <v>2504</v>
      </c>
      <c r="C307" s="257" t="s">
        <v>1581</v>
      </c>
      <c r="D307" s="383">
        <f t="shared" si="4"/>
        <v>3952</v>
      </c>
      <c r="E307" s="384">
        <v>3952000</v>
      </c>
    </row>
    <row r="308" spans="1:5" ht="12.75" customHeight="1">
      <c r="A308" s="1039"/>
      <c r="B308" s="257" t="s">
        <v>2505</v>
      </c>
      <c r="C308" s="257" t="s">
        <v>1581</v>
      </c>
      <c r="D308" s="383">
        <f t="shared" si="4"/>
        <v>2643</v>
      </c>
      <c r="E308" s="384">
        <v>2643000</v>
      </c>
    </row>
    <row r="309" spans="1:5" ht="12.75" customHeight="1">
      <c r="A309" s="1043" t="s">
        <v>2506</v>
      </c>
      <c r="B309" s="257" t="s">
        <v>2507</v>
      </c>
      <c r="C309" s="257" t="s">
        <v>1581</v>
      </c>
      <c r="D309" s="383">
        <f t="shared" si="4"/>
        <v>9697</v>
      </c>
      <c r="E309" s="384">
        <v>9697000</v>
      </c>
    </row>
    <row r="310" spans="1:5" ht="12.75" customHeight="1">
      <c r="A310" s="1047"/>
      <c r="B310" s="257" t="s">
        <v>2508</v>
      </c>
      <c r="C310" s="257" t="s">
        <v>1581</v>
      </c>
      <c r="D310" s="383">
        <f t="shared" si="4"/>
        <v>4976</v>
      </c>
      <c r="E310" s="384">
        <v>4976000</v>
      </c>
    </row>
    <row r="311" spans="1:5" ht="12.75" customHeight="1">
      <c r="A311" s="1047"/>
      <c r="B311" s="257" t="s">
        <v>2509</v>
      </c>
      <c r="C311" s="257" t="s">
        <v>1581</v>
      </c>
      <c r="D311" s="383">
        <f t="shared" si="4"/>
        <v>1725</v>
      </c>
      <c r="E311" s="384">
        <v>1725000</v>
      </c>
    </row>
    <row r="312" spans="1:5" ht="12.75" customHeight="1">
      <c r="A312" s="1047"/>
      <c r="B312" s="257" t="s">
        <v>2510</v>
      </c>
      <c r="C312" s="257" t="s">
        <v>1581</v>
      </c>
      <c r="D312" s="383">
        <f t="shared" si="4"/>
        <v>1002</v>
      </c>
      <c r="E312" s="384">
        <v>1002000</v>
      </c>
    </row>
    <row r="313" spans="1:5" ht="12.75" customHeight="1">
      <c r="A313" s="1047"/>
      <c r="B313" s="257" t="s">
        <v>2511</v>
      </c>
      <c r="C313" s="257" t="s">
        <v>1581</v>
      </c>
      <c r="D313" s="383">
        <f t="shared" si="4"/>
        <v>7030</v>
      </c>
      <c r="E313" s="384">
        <v>7030000</v>
      </c>
    </row>
    <row r="314" spans="1:5" ht="12.75" customHeight="1">
      <c r="A314" s="1047"/>
      <c r="B314" s="257" t="s">
        <v>2512</v>
      </c>
      <c r="C314" s="257" t="s">
        <v>1581</v>
      </c>
      <c r="D314" s="383">
        <f t="shared" si="4"/>
        <v>2355</v>
      </c>
      <c r="E314" s="384">
        <v>2355000</v>
      </c>
    </row>
    <row r="315" spans="1:5" ht="12.75" customHeight="1">
      <c r="A315" s="1047"/>
      <c r="B315" s="257" t="s">
        <v>2513</v>
      </c>
      <c r="C315" s="257" t="s">
        <v>1581</v>
      </c>
      <c r="D315" s="383">
        <f t="shared" si="4"/>
        <v>1827</v>
      </c>
      <c r="E315" s="384">
        <v>1827000</v>
      </c>
    </row>
    <row r="316" spans="1:5" ht="12.75" customHeight="1">
      <c r="A316" s="1047"/>
      <c r="B316" s="257" t="s">
        <v>2514</v>
      </c>
      <c r="C316" s="257" t="s">
        <v>1581</v>
      </c>
      <c r="D316" s="383">
        <f t="shared" si="4"/>
        <v>1207</v>
      </c>
      <c r="E316" s="384">
        <v>1207000</v>
      </c>
    </row>
    <row r="317" spans="1:5" ht="12.75" customHeight="1">
      <c r="A317" s="1047"/>
      <c r="B317" s="257" t="s">
        <v>2515</v>
      </c>
      <c r="C317" s="257" t="s">
        <v>1581</v>
      </c>
      <c r="D317" s="383">
        <f t="shared" si="4"/>
        <v>1171</v>
      </c>
      <c r="E317" s="384">
        <v>1171000</v>
      </c>
    </row>
    <row r="318" spans="1:5" ht="12.75" customHeight="1">
      <c r="A318" s="1047"/>
      <c r="B318" s="257" t="s">
        <v>2516</v>
      </c>
      <c r="C318" s="257" t="s">
        <v>1581</v>
      </c>
      <c r="D318" s="383">
        <f t="shared" si="4"/>
        <v>13416</v>
      </c>
      <c r="E318" s="384">
        <v>13416000</v>
      </c>
    </row>
    <row r="319" spans="1:5" ht="12.75" customHeight="1">
      <c r="A319" s="1047"/>
      <c r="B319" s="257" t="s">
        <v>2517</v>
      </c>
      <c r="C319" s="257" t="s">
        <v>1581</v>
      </c>
      <c r="D319" s="383">
        <f t="shared" si="4"/>
        <v>14189</v>
      </c>
      <c r="E319" s="384">
        <v>14189000</v>
      </c>
    </row>
    <row r="320" spans="1:5" ht="12.75" customHeight="1">
      <c r="A320" s="1047"/>
      <c r="B320" s="257" t="s">
        <v>2518</v>
      </c>
      <c r="C320" s="257" t="s">
        <v>1581</v>
      </c>
      <c r="D320" s="383">
        <f t="shared" si="4"/>
        <v>8614</v>
      </c>
      <c r="E320" s="384">
        <v>8614000</v>
      </c>
    </row>
    <row r="321" spans="1:5" ht="12.75" customHeight="1">
      <c r="A321" s="1047"/>
      <c r="B321" s="257" t="s">
        <v>2519</v>
      </c>
      <c r="C321" s="257" t="s">
        <v>1581</v>
      </c>
      <c r="D321" s="383">
        <f t="shared" si="4"/>
        <v>2052</v>
      </c>
      <c r="E321" s="384">
        <v>2052000</v>
      </c>
    </row>
    <row r="322" spans="1:5" ht="12.75" customHeight="1">
      <c r="A322" s="1047"/>
      <c r="B322" s="257" t="s">
        <v>2520</v>
      </c>
      <c r="C322" s="257" t="s">
        <v>1581</v>
      </c>
      <c r="D322" s="383">
        <f t="shared" si="4"/>
        <v>1921</v>
      </c>
      <c r="E322" s="384">
        <v>1921000</v>
      </c>
    </row>
    <row r="323" spans="1:5" ht="12.75" customHeight="1">
      <c r="A323" s="1047"/>
      <c r="B323" s="257" t="s">
        <v>2521</v>
      </c>
      <c r="C323" s="257" t="s">
        <v>1581</v>
      </c>
      <c r="D323" s="383">
        <f t="shared" si="4"/>
        <v>2486</v>
      </c>
      <c r="E323" s="384">
        <v>2486000</v>
      </c>
    </row>
    <row r="324" spans="1:5" ht="12.75" customHeight="1">
      <c r="A324" s="1039"/>
      <c r="B324" s="257" t="s">
        <v>2522</v>
      </c>
      <c r="C324" s="257" t="s">
        <v>1581</v>
      </c>
      <c r="D324" s="383">
        <f t="shared" si="4"/>
        <v>3517</v>
      </c>
      <c r="E324" s="384">
        <v>3517000</v>
      </c>
    </row>
    <row r="325" spans="1:5" ht="12.75" customHeight="1">
      <c r="A325" s="1043" t="s">
        <v>2523</v>
      </c>
      <c r="B325" s="257" t="s">
        <v>2524</v>
      </c>
      <c r="C325" s="257" t="s">
        <v>1581</v>
      </c>
      <c r="D325" s="383">
        <f t="shared" ref="D325:D388" si="5">E325/1000</f>
        <v>2973</v>
      </c>
      <c r="E325" s="384">
        <v>2973000</v>
      </c>
    </row>
    <row r="326" spans="1:5" ht="12.75" customHeight="1">
      <c r="A326" s="1047"/>
      <c r="B326" s="257" t="s">
        <v>2525</v>
      </c>
      <c r="C326" s="257" t="s">
        <v>1581</v>
      </c>
      <c r="D326" s="383">
        <f t="shared" si="5"/>
        <v>6773</v>
      </c>
      <c r="E326" s="384">
        <v>6773000</v>
      </c>
    </row>
    <row r="327" spans="1:5" ht="12.75" customHeight="1">
      <c r="A327" s="1047"/>
      <c r="B327" s="257" t="s">
        <v>2526</v>
      </c>
      <c r="C327" s="257" t="s">
        <v>1581</v>
      </c>
      <c r="D327" s="383">
        <f t="shared" si="5"/>
        <v>3197</v>
      </c>
      <c r="E327" s="384">
        <v>3197000</v>
      </c>
    </row>
    <row r="328" spans="1:5" ht="12.75" customHeight="1">
      <c r="A328" s="1047"/>
      <c r="B328" s="257" t="s">
        <v>2527</v>
      </c>
      <c r="C328" s="257" t="s">
        <v>1581</v>
      </c>
      <c r="D328" s="383">
        <f t="shared" si="5"/>
        <v>2805</v>
      </c>
      <c r="E328" s="384">
        <v>2805000</v>
      </c>
    </row>
    <row r="329" spans="1:5" ht="12.75" customHeight="1">
      <c r="A329" s="1047"/>
      <c r="B329" s="257" t="s">
        <v>2528</v>
      </c>
      <c r="C329" s="257" t="s">
        <v>1581</v>
      </c>
      <c r="D329" s="383">
        <f t="shared" si="5"/>
        <v>1856</v>
      </c>
      <c r="E329" s="384">
        <v>1856000</v>
      </c>
    </row>
    <row r="330" spans="1:5" ht="12.75" customHeight="1">
      <c r="A330" s="1047"/>
      <c r="B330" s="257" t="s">
        <v>2529</v>
      </c>
      <c r="C330" s="257" t="s">
        <v>1581</v>
      </c>
      <c r="D330" s="383">
        <f t="shared" si="5"/>
        <v>11421</v>
      </c>
      <c r="E330" s="384">
        <v>11421000</v>
      </c>
    </row>
    <row r="331" spans="1:5" ht="12.75" customHeight="1">
      <c r="A331" s="1047"/>
      <c r="B331" s="257" t="s">
        <v>2530</v>
      </c>
      <c r="C331" s="257" t="s">
        <v>1581</v>
      </c>
      <c r="D331" s="383">
        <f t="shared" si="5"/>
        <v>5464</v>
      </c>
      <c r="E331" s="384">
        <v>5464000</v>
      </c>
    </row>
    <row r="332" spans="1:5" ht="12.75" customHeight="1">
      <c r="A332" s="1047"/>
      <c r="B332" s="257" t="s">
        <v>2531</v>
      </c>
      <c r="C332" s="257" t="s">
        <v>1581</v>
      </c>
      <c r="D332" s="383">
        <f t="shared" si="5"/>
        <v>840</v>
      </c>
      <c r="E332" s="384">
        <v>840000</v>
      </c>
    </row>
    <row r="333" spans="1:5" ht="12.75" customHeight="1">
      <c r="A333" s="1047"/>
      <c r="B333" s="257" t="s">
        <v>2532</v>
      </c>
      <c r="C333" s="257" t="s">
        <v>1581</v>
      </c>
      <c r="D333" s="383">
        <f t="shared" si="5"/>
        <v>1435</v>
      </c>
      <c r="E333" s="384">
        <v>1435000</v>
      </c>
    </row>
    <row r="334" spans="1:5" ht="12.75" customHeight="1">
      <c r="A334" s="1047"/>
      <c r="B334" s="257" t="s">
        <v>2533</v>
      </c>
      <c r="C334" s="257" t="s">
        <v>1581</v>
      </c>
      <c r="D334" s="383">
        <f t="shared" si="5"/>
        <v>8551</v>
      </c>
      <c r="E334" s="384">
        <v>8551000</v>
      </c>
    </row>
    <row r="335" spans="1:5" ht="12.75" customHeight="1">
      <c r="A335" s="1047"/>
      <c r="B335" s="257" t="s">
        <v>2534</v>
      </c>
      <c r="C335" s="257" t="s">
        <v>1581</v>
      </c>
      <c r="D335" s="383">
        <f t="shared" si="5"/>
        <v>23205</v>
      </c>
      <c r="E335" s="384">
        <v>23205000</v>
      </c>
    </row>
    <row r="336" spans="1:5" ht="12.75" customHeight="1">
      <c r="A336" s="1047"/>
      <c r="B336" s="257" t="s">
        <v>2535</v>
      </c>
      <c r="C336" s="257" t="s">
        <v>1581</v>
      </c>
      <c r="D336" s="383">
        <f t="shared" si="5"/>
        <v>14178</v>
      </c>
      <c r="E336" s="384">
        <v>14178000</v>
      </c>
    </row>
    <row r="337" spans="1:5" ht="12.75" customHeight="1">
      <c r="A337" s="1047"/>
      <c r="B337" s="257" t="s">
        <v>2536</v>
      </c>
      <c r="C337" s="257" t="s">
        <v>1581</v>
      </c>
      <c r="D337" s="383">
        <f t="shared" si="5"/>
        <v>6537</v>
      </c>
      <c r="E337" s="384">
        <v>6537000</v>
      </c>
    </row>
    <row r="338" spans="1:5" ht="12.75" customHeight="1">
      <c r="A338" s="1047"/>
      <c r="B338" s="257" t="s">
        <v>2537</v>
      </c>
      <c r="C338" s="257" t="s">
        <v>1581</v>
      </c>
      <c r="D338" s="383">
        <f t="shared" si="5"/>
        <v>5860</v>
      </c>
      <c r="E338" s="384">
        <v>5860000</v>
      </c>
    </row>
    <row r="339" spans="1:5" ht="12.75" customHeight="1">
      <c r="A339" s="1047"/>
      <c r="B339" s="257" t="s">
        <v>2538</v>
      </c>
      <c r="C339" s="257" t="s">
        <v>1581</v>
      </c>
      <c r="D339" s="383">
        <f t="shared" si="5"/>
        <v>961</v>
      </c>
      <c r="E339" s="384">
        <v>961000</v>
      </c>
    </row>
    <row r="340" spans="1:5" ht="12.75" customHeight="1">
      <c r="A340" s="1047"/>
      <c r="B340" s="257" t="s">
        <v>2539</v>
      </c>
      <c r="C340" s="257" t="s">
        <v>1581</v>
      </c>
      <c r="D340" s="383">
        <f t="shared" si="5"/>
        <v>5803</v>
      </c>
      <c r="E340" s="384">
        <v>5803000</v>
      </c>
    </row>
    <row r="341" spans="1:5" ht="12.75" customHeight="1">
      <c r="A341" s="1047"/>
      <c r="B341" s="257" t="s">
        <v>2540</v>
      </c>
      <c r="C341" s="257" t="s">
        <v>1581</v>
      </c>
      <c r="D341" s="383">
        <f t="shared" si="5"/>
        <v>3415</v>
      </c>
      <c r="E341" s="384">
        <v>3415000</v>
      </c>
    </row>
    <row r="342" spans="1:5" ht="12.75" customHeight="1">
      <c r="A342" s="1047"/>
      <c r="B342" s="257" t="s">
        <v>2541</v>
      </c>
      <c r="C342" s="257" t="s">
        <v>1581</v>
      </c>
      <c r="D342" s="383">
        <f t="shared" si="5"/>
        <v>1349</v>
      </c>
      <c r="E342" s="384">
        <v>1349000</v>
      </c>
    </row>
    <row r="343" spans="1:5" ht="12.75" customHeight="1">
      <c r="A343" s="1039"/>
      <c r="B343" s="257" t="s">
        <v>2542</v>
      </c>
      <c r="C343" s="257" t="s">
        <v>1581</v>
      </c>
      <c r="D343" s="383">
        <f t="shared" si="5"/>
        <v>997</v>
      </c>
      <c r="E343" s="384">
        <v>997000</v>
      </c>
    </row>
    <row r="344" spans="1:5" ht="12.75" customHeight="1">
      <c r="A344" s="1041" t="s">
        <v>2543</v>
      </c>
      <c r="B344" s="257" t="s">
        <v>2544</v>
      </c>
      <c r="C344" s="257" t="s">
        <v>1581</v>
      </c>
      <c r="D344" s="383">
        <f t="shared" si="5"/>
        <v>11910</v>
      </c>
      <c r="E344" s="384">
        <v>11910000</v>
      </c>
    </row>
    <row r="345" spans="1:5" ht="12.75" customHeight="1">
      <c r="A345" s="1041"/>
      <c r="B345" s="257" t="s">
        <v>2545</v>
      </c>
      <c r="C345" s="257" t="s">
        <v>1581</v>
      </c>
      <c r="D345" s="383">
        <f t="shared" si="5"/>
        <v>4780</v>
      </c>
      <c r="E345" s="384">
        <v>4780000</v>
      </c>
    </row>
    <row r="346" spans="1:5" ht="12.75" customHeight="1">
      <c r="A346" s="1041"/>
      <c r="B346" s="257" t="s">
        <v>2546</v>
      </c>
      <c r="C346" s="257" t="s">
        <v>1581</v>
      </c>
      <c r="D346" s="383">
        <f t="shared" si="5"/>
        <v>3599</v>
      </c>
      <c r="E346" s="384">
        <v>3599000</v>
      </c>
    </row>
    <row r="347" spans="1:5" ht="12.75" customHeight="1">
      <c r="A347" s="1041"/>
      <c r="B347" s="257" t="s">
        <v>2547</v>
      </c>
      <c r="C347" s="257" t="s">
        <v>1581</v>
      </c>
      <c r="D347" s="383">
        <f t="shared" si="5"/>
        <v>1554</v>
      </c>
      <c r="E347" s="384">
        <v>1554000</v>
      </c>
    </row>
    <row r="348" spans="1:5" ht="12.75" customHeight="1">
      <c r="A348" s="1041"/>
      <c r="B348" s="257" t="s">
        <v>2548</v>
      </c>
      <c r="C348" s="257" t="s">
        <v>1581</v>
      </c>
      <c r="D348" s="383">
        <f t="shared" si="5"/>
        <v>4870</v>
      </c>
      <c r="E348" s="384">
        <v>4870000</v>
      </c>
    </row>
    <row r="349" spans="1:5" ht="12.75" customHeight="1">
      <c r="A349" s="1041" t="s">
        <v>2543</v>
      </c>
      <c r="B349" s="257" t="s">
        <v>2549</v>
      </c>
      <c r="C349" s="257" t="s">
        <v>1581</v>
      </c>
      <c r="D349" s="383">
        <f t="shared" si="5"/>
        <v>977</v>
      </c>
      <c r="E349" s="384">
        <v>977000</v>
      </c>
    </row>
    <row r="350" spans="1:5" ht="12.75" customHeight="1">
      <c r="A350" s="1041"/>
      <c r="B350" s="257" t="s">
        <v>2550</v>
      </c>
      <c r="C350" s="257" t="s">
        <v>1581</v>
      </c>
      <c r="D350" s="383">
        <f t="shared" si="5"/>
        <v>1663</v>
      </c>
      <c r="E350" s="384">
        <v>1663000</v>
      </c>
    </row>
    <row r="351" spans="1:5" ht="12.75" customHeight="1">
      <c r="A351" s="1041"/>
      <c r="B351" s="257" t="s">
        <v>2551</v>
      </c>
      <c r="C351" s="257" t="s">
        <v>1581</v>
      </c>
      <c r="D351" s="383">
        <f t="shared" si="5"/>
        <v>1282</v>
      </c>
      <c r="E351" s="384">
        <v>1282000</v>
      </c>
    </row>
    <row r="352" spans="1:5" ht="12.75" customHeight="1">
      <c r="A352" s="1041"/>
      <c r="B352" s="257" t="s">
        <v>2552</v>
      </c>
      <c r="C352" s="257" t="s">
        <v>1581</v>
      </c>
      <c r="D352" s="383">
        <f t="shared" si="5"/>
        <v>8107</v>
      </c>
      <c r="E352" s="384">
        <v>8107000</v>
      </c>
    </row>
    <row r="353" spans="1:5" ht="12.75" customHeight="1">
      <c r="A353" s="1041"/>
      <c r="B353" s="257" t="s">
        <v>2553</v>
      </c>
      <c r="C353" s="257" t="s">
        <v>1581</v>
      </c>
      <c r="D353" s="383">
        <f t="shared" si="5"/>
        <v>14201</v>
      </c>
      <c r="E353" s="384">
        <v>14201000</v>
      </c>
    </row>
    <row r="354" spans="1:5" ht="12.75" customHeight="1">
      <c r="A354" s="1041"/>
      <c r="B354" s="257" t="s">
        <v>2554</v>
      </c>
      <c r="C354" s="257" t="s">
        <v>1581</v>
      </c>
      <c r="D354" s="383">
        <f t="shared" si="5"/>
        <v>5791</v>
      </c>
      <c r="E354" s="384">
        <v>5791000</v>
      </c>
    </row>
    <row r="355" spans="1:5" ht="12.75" customHeight="1">
      <c r="A355" s="1041"/>
      <c r="B355" s="257" t="s">
        <v>2555</v>
      </c>
      <c r="C355" s="257" t="s">
        <v>1581</v>
      </c>
      <c r="D355" s="383">
        <f t="shared" si="5"/>
        <v>6989</v>
      </c>
      <c r="E355" s="384">
        <v>6989000</v>
      </c>
    </row>
    <row r="356" spans="1:5" ht="12.75" customHeight="1">
      <c r="A356" s="1041"/>
      <c r="B356" s="257" t="s">
        <v>2556</v>
      </c>
      <c r="C356" s="257" t="s">
        <v>1581</v>
      </c>
      <c r="D356" s="383">
        <f t="shared" si="5"/>
        <v>1779</v>
      </c>
      <c r="E356" s="384">
        <v>1779000</v>
      </c>
    </row>
    <row r="357" spans="1:5" ht="12.75" customHeight="1">
      <c r="A357" s="1041"/>
      <c r="B357" s="257" t="s">
        <v>2557</v>
      </c>
      <c r="C357" s="257" t="s">
        <v>1581</v>
      </c>
      <c r="D357" s="383">
        <f t="shared" si="5"/>
        <v>1240</v>
      </c>
      <c r="E357" s="384">
        <v>1240000</v>
      </c>
    </row>
    <row r="358" spans="1:5" ht="12.75" customHeight="1">
      <c r="A358" s="1041"/>
      <c r="B358" s="257" t="s">
        <v>2558</v>
      </c>
      <c r="C358" s="257" t="s">
        <v>1581</v>
      </c>
      <c r="D358" s="383">
        <f t="shared" si="5"/>
        <v>1117</v>
      </c>
      <c r="E358" s="384">
        <v>1117000</v>
      </c>
    </row>
    <row r="359" spans="1:5" ht="12.75" customHeight="1">
      <c r="A359" s="1041"/>
      <c r="B359" s="257" t="s">
        <v>2559</v>
      </c>
      <c r="C359" s="257" t="s">
        <v>1581</v>
      </c>
      <c r="D359" s="385">
        <f t="shared" si="5"/>
        <v>0</v>
      </c>
      <c r="E359" s="384">
        <v>0</v>
      </c>
    </row>
    <row r="360" spans="1:5" ht="12.75" customHeight="1">
      <c r="A360" s="1041"/>
      <c r="B360" s="257" t="s">
        <v>2560</v>
      </c>
      <c r="C360" s="257" t="s">
        <v>1581</v>
      </c>
      <c r="D360" s="383">
        <f t="shared" si="5"/>
        <v>7085</v>
      </c>
      <c r="E360" s="384">
        <v>7085000</v>
      </c>
    </row>
    <row r="361" spans="1:5" ht="12.75" customHeight="1">
      <c r="A361" s="1041"/>
      <c r="B361" s="257" t="s">
        <v>2561</v>
      </c>
      <c r="C361" s="257" t="s">
        <v>1581</v>
      </c>
      <c r="D361" s="383">
        <f t="shared" si="5"/>
        <v>5323</v>
      </c>
      <c r="E361" s="384">
        <v>5323000</v>
      </c>
    </row>
    <row r="362" spans="1:5" ht="12.75" customHeight="1">
      <c r="A362" s="1041"/>
      <c r="B362" s="257" t="s">
        <v>2562</v>
      </c>
      <c r="C362" s="257" t="s">
        <v>1581</v>
      </c>
      <c r="D362" s="383">
        <f t="shared" si="5"/>
        <v>1702</v>
      </c>
      <c r="E362" s="384">
        <v>1702000</v>
      </c>
    </row>
    <row r="363" spans="1:5" ht="12.75" customHeight="1">
      <c r="A363" s="1041"/>
      <c r="B363" s="257" t="s">
        <v>2563</v>
      </c>
      <c r="C363" s="257" t="s">
        <v>1581</v>
      </c>
      <c r="D363" s="383">
        <f t="shared" si="5"/>
        <v>900</v>
      </c>
      <c r="E363" s="384">
        <v>900000</v>
      </c>
    </row>
    <row r="364" spans="1:5" ht="12.75" customHeight="1">
      <c r="A364" s="1041"/>
      <c r="B364" s="257" t="s">
        <v>2564</v>
      </c>
      <c r="C364" s="257" t="s">
        <v>1581</v>
      </c>
      <c r="D364" s="383">
        <f t="shared" si="5"/>
        <v>16157</v>
      </c>
      <c r="E364" s="384">
        <v>16157000</v>
      </c>
    </row>
    <row r="365" spans="1:5" ht="12.75" customHeight="1">
      <c r="A365" s="1041"/>
      <c r="B365" s="257" t="s">
        <v>2565</v>
      </c>
      <c r="C365" s="257" t="s">
        <v>1581</v>
      </c>
      <c r="D365" s="383">
        <f t="shared" si="5"/>
        <v>8245</v>
      </c>
      <c r="E365" s="384">
        <v>8245000</v>
      </c>
    </row>
    <row r="366" spans="1:5" ht="12.75" customHeight="1">
      <c r="A366" s="1041"/>
      <c r="B366" s="257" t="s">
        <v>2566</v>
      </c>
      <c r="C366" s="257" t="s">
        <v>1581</v>
      </c>
      <c r="D366" s="383">
        <f t="shared" si="5"/>
        <v>17316</v>
      </c>
      <c r="E366" s="384">
        <v>17316000</v>
      </c>
    </row>
    <row r="367" spans="1:5" ht="12.75" customHeight="1">
      <c r="A367" s="1041"/>
      <c r="B367" s="257" t="s">
        <v>2567</v>
      </c>
      <c r="C367" s="257" t="s">
        <v>1581</v>
      </c>
      <c r="D367" s="383">
        <f t="shared" si="5"/>
        <v>3697</v>
      </c>
      <c r="E367" s="384">
        <v>3697000</v>
      </c>
    </row>
    <row r="368" spans="1:5" ht="12.75" customHeight="1">
      <c r="A368" s="1041"/>
      <c r="B368" s="257" t="s">
        <v>2568</v>
      </c>
      <c r="C368" s="257" t="s">
        <v>1581</v>
      </c>
      <c r="D368" s="383">
        <f t="shared" si="5"/>
        <v>2817</v>
      </c>
      <c r="E368" s="384">
        <v>2817000</v>
      </c>
    </row>
    <row r="369" spans="1:5" ht="12.75" customHeight="1">
      <c r="A369" s="1041"/>
      <c r="B369" s="257" t="s">
        <v>2569</v>
      </c>
      <c r="C369" s="257" t="s">
        <v>1581</v>
      </c>
      <c r="D369" s="383">
        <f t="shared" si="5"/>
        <v>1515</v>
      </c>
      <c r="E369" s="384">
        <v>1515000</v>
      </c>
    </row>
    <row r="370" spans="1:5" ht="12.75" customHeight="1">
      <c r="A370" s="1041"/>
      <c r="B370" s="257" t="s">
        <v>2570</v>
      </c>
      <c r="C370" s="257" t="s">
        <v>1581</v>
      </c>
      <c r="D370" s="383">
        <f t="shared" si="5"/>
        <v>4127</v>
      </c>
      <c r="E370" s="384">
        <v>4127000</v>
      </c>
    </row>
    <row r="371" spans="1:5" ht="12.75" customHeight="1">
      <c r="A371" s="1041"/>
      <c r="B371" s="257" t="s">
        <v>2571</v>
      </c>
      <c r="C371" s="257" t="s">
        <v>1581</v>
      </c>
      <c r="D371" s="383">
        <f t="shared" si="5"/>
        <v>2418</v>
      </c>
      <c r="E371" s="384">
        <v>2418000</v>
      </c>
    </row>
    <row r="372" spans="1:5" ht="12.75" customHeight="1">
      <c r="A372" s="1041"/>
      <c r="B372" s="257" t="s">
        <v>2572</v>
      </c>
      <c r="C372" s="257" t="s">
        <v>1581</v>
      </c>
      <c r="D372" s="383">
        <f t="shared" si="5"/>
        <v>881</v>
      </c>
      <c r="E372" s="384">
        <v>881000</v>
      </c>
    </row>
    <row r="373" spans="1:5" ht="12.75" customHeight="1">
      <c r="A373" s="1041" t="s">
        <v>2573</v>
      </c>
      <c r="B373" s="257" t="s">
        <v>2574</v>
      </c>
      <c r="C373" s="257" t="s">
        <v>1581</v>
      </c>
      <c r="D373" s="383">
        <f t="shared" si="5"/>
        <v>7199</v>
      </c>
      <c r="E373" s="384">
        <v>7199000</v>
      </c>
    </row>
    <row r="374" spans="1:5" ht="12.75" customHeight="1">
      <c r="A374" s="1041"/>
      <c r="B374" s="257" t="s">
        <v>2575</v>
      </c>
      <c r="C374" s="257" t="s">
        <v>1581</v>
      </c>
      <c r="D374" s="383">
        <f t="shared" si="5"/>
        <v>1762</v>
      </c>
      <c r="E374" s="384">
        <v>1762000</v>
      </c>
    </row>
    <row r="375" spans="1:5" ht="12.75" customHeight="1">
      <c r="A375" s="1041"/>
      <c r="B375" s="257" t="s">
        <v>2576</v>
      </c>
      <c r="C375" s="257" t="s">
        <v>1581</v>
      </c>
      <c r="D375" s="383">
        <f t="shared" si="5"/>
        <v>6825</v>
      </c>
      <c r="E375" s="384">
        <v>6825000</v>
      </c>
    </row>
    <row r="376" spans="1:5" ht="12.75" customHeight="1">
      <c r="A376" s="1041"/>
      <c r="B376" s="257" t="s">
        <v>2577</v>
      </c>
      <c r="C376" s="257" t="s">
        <v>1581</v>
      </c>
      <c r="D376" s="383">
        <f t="shared" si="5"/>
        <v>4453</v>
      </c>
      <c r="E376" s="384">
        <v>4453000</v>
      </c>
    </row>
    <row r="377" spans="1:5" ht="12.75" customHeight="1">
      <c r="A377" s="1041"/>
      <c r="B377" s="257" t="s">
        <v>2578</v>
      </c>
      <c r="C377" s="257" t="s">
        <v>1581</v>
      </c>
      <c r="D377" s="383">
        <f t="shared" si="5"/>
        <v>2439</v>
      </c>
      <c r="E377" s="384">
        <v>2439000</v>
      </c>
    </row>
    <row r="378" spans="1:5" ht="12.75" customHeight="1">
      <c r="A378" s="1041"/>
      <c r="B378" s="257" t="s">
        <v>2579</v>
      </c>
      <c r="C378" s="257" t="s">
        <v>1581</v>
      </c>
      <c r="D378" s="383">
        <f t="shared" si="5"/>
        <v>2472</v>
      </c>
      <c r="E378" s="384">
        <v>2472000</v>
      </c>
    </row>
    <row r="379" spans="1:5" ht="12.75" customHeight="1">
      <c r="A379" s="1041"/>
      <c r="B379" s="257" t="s">
        <v>2580</v>
      </c>
      <c r="C379" s="257" t="s">
        <v>1581</v>
      </c>
      <c r="D379" s="383">
        <f t="shared" si="5"/>
        <v>1454</v>
      </c>
      <c r="E379" s="384">
        <v>1454000</v>
      </c>
    </row>
    <row r="380" spans="1:5" ht="12.75" customHeight="1">
      <c r="A380" s="1041"/>
      <c r="B380" s="257" t="s">
        <v>2581</v>
      </c>
      <c r="C380" s="257" t="s">
        <v>1581</v>
      </c>
      <c r="D380" s="383">
        <f t="shared" si="5"/>
        <v>1081</v>
      </c>
      <c r="E380" s="384">
        <v>1081000</v>
      </c>
    </row>
    <row r="381" spans="1:5" ht="12.75" customHeight="1">
      <c r="A381" s="1041"/>
      <c r="B381" s="257" t="s">
        <v>2582</v>
      </c>
      <c r="C381" s="257" t="s">
        <v>1581</v>
      </c>
      <c r="D381" s="383">
        <f t="shared" si="5"/>
        <v>2134</v>
      </c>
      <c r="E381" s="384">
        <v>2134000</v>
      </c>
    </row>
    <row r="382" spans="1:5" ht="12.75" customHeight="1">
      <c r="A382" s="1041"/>
      <c r="B382" s="257" t="s">
        <v>2583</v>
      </c>
      <c r="C382" s="257" t="s">
        <v>1581</v>
      </c>
      <c r="D382" s="383">
        <f t="shared" si="5"/>
        <v>8783</v>
      </c>
      <c r="E382" s="384">
        <v>8783000</v>
      </c>
    </row>
    <row r="383" spans="1:5" ht="12.75" customHeight="1">
      <c r="A383" s="1041"/>
      <c r="B383" s="257" t="s">
        <v>2584</v>
      </c>
      <c r="C383" s="257" t="s">
        <v>1581</v>
      </c>
      <c r="D383" s="383">
        <f t="shared" si="5"/>
        <v>4197</v>
      </c>
      <c r="E383" s="384">
        <v>4197000</v>
      </c>
    </row>
    <row r="384" spans="1:5" ht="12.75" customHeight="1">
      <c r="A384" s="1041"/>
      <c r="B384" s="257" t="s">
        <v>2585</v>
      </c>
      <c r="C384" s="257" t="s">
        <v>1581</v>
      </c>
      <c r="D384" s="383">
        <f t="shared" si="5"/>
        <v>9842</v>
      </c>
      <c r="E384" s="384">
        <v>9842000</v>
      </c>
    </row>
    <row r="385" spans="1:5" ht="12.75" customHeight="1">
      <c r="A385" s="1041"/>
      <c r="B385" s="257" t="s">
        <v>2586</v>
      </c>
      <c r="C385" s="257" t="s">
        <v>1581</v>
      </c>
      <c r="D385" s="383">
        <f t="shared" si="5"/>
        <v>4740</v>
      </c>
      <c r="E385" s="384">
        <v>4740000</v>
      </c>
    </row>
    <row r="386" spans="1:5" ht="12.75" customHeight="1">
      <c r="A386" s="1041"/>
      <c r="B386" s="257" t="s">
        <v>2587</v>
      </c>
      <c r="C386" s="257" t="s">
        <v>1581</v>
      </c>
      <c r="D386" s="383">
        <f t="shared" si="5"/>
        <v>6372</v>
      </c>
      <c r="E386" s="384">
        <v>6372000</v>
      </c>
    </row>
    <row r="387" spans="1:5" ht="12.75" customHeight="1">
      <c r="A387" s="1041"/>
      <c r="B387" s="257" t="s">
        <v>2588</v>
      </c>
      <c r="C387" s="257" t="s">
        <v>1581</v>
      </c>
      <c r="D387" s="383">
        <f t="shared" si="5"/>
        <v>3009</v>
      </c>
      <c r="E387" s="384">
        <v>3009000</v>
      </c>
    </row>
    <row r="388" spans="1:5" ht="12.75" customHeight="1">
      <c r="A388" s="1041"/>
      <c r="B388" s="257" t="s">
        <v>2589</v>
      </c>
      <c r="C388" s="257" t="s">
        <v>1581</v>
      </c>
      <c r="D388" s="383">
        <f t="shared" si="5"/>
        <v>3028</v>
      </c>
      <c r="E388" s="384">
        <v>3028000</v>
      </c>
    </row>
    <row r="389" spans="1:5" ht="12.75" customHeight="1">
      <c r="A389" s="1041"/>
      <c r="B389" s="257" t="s">
        <v>2590</v>
      </c>
      <c r="C389" s="257" t="s">
        <v>1581</v>
      </c>
      <c r="D389" s="383">
        <f t="shared" ref="D389:D391" si="6">E389/1000</f>
        <v>1452</v>
      </c>
      <c r="E389" s="384">
        <v>1452000</v>
      </c>
    </row>
    <row r="390" spans="1:5" ht="12.75" customHeight="1">
      <c r="A390" s="1041"/>
      <c r="B390" s="257" t="s">
        <v>2591</v>
      </c>
      <c r="C390" s="257" t="s">
        <v>1581</v>
      </c>
      <c r="D390" s="383">
        <f t="shared" si="6"/>
        <v>2047</v>
      </c>
      <c r="E390" s="384">
        <v>2047000</v>
      </c>
    </row>
    <row r="391" spans="1:5" ht="13.8" thickBot="1">
      <c r="A391" s="1074" t="s">
        <v>2592</v>
      </c>
      <c r="B391" s="1075"/>
      <c r="C391" s="1075"/>
      <c r="D391" s="386">
        <f t="shared" si="6"/>
        <v>2345564</v>
      </c>
      <c r="E391" s="384">
        <v>2345564000</v>
      </c>
    </row>
  </sheetData>
  <mergeCells count="23">
    <mergeCell ref="A78:A105"/>
    <mergeCell ref="A1:D2"/>
    <mergeCell ref="A4:A13"/>
    <mergeCell ref="A14:A53"/>
    <mergeCell ref="A54:A63"/>
    <mergeCell ref="A64:A77"/>
    <mergeCell ref="A309:A324"/>
    <mergeCell ref="A106:A112"/>
    <mergeCell ref="A113:A128"/>
    <mergeCell ref="A129:A141"/>
    <mergeCell ref="A142:A171"/>
    <mergeCell ref="A172:A177"/>
    <mergeCell ref="A178:A230"/>
    <mergeCell ref="A231:A244"/>
    <mergeCell ref="A245:A263"/>
    <mergeCell ref="A264:A289"/>
    <mergeCell ref="A290:A294"/>
    <mergeCell ref="A295:A308"/>
    <mergeCell ref="A325:A343"/>
    <mergeCell ref="A344:A348"/>
    <mergeCell ref="A349:A372"/>
    <mergeCell ref="A373:A390"/>
    <mergeCell ref="A391:C391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>
    <oddHeader>&amp;LPříloha č. 13&amp;CZávěrečný účet Plzeňského kraje za rok 2010</oddHeader>
    <oddFooter>&amp;LKrajský úřad Plzeňského kraje
Odbor ekonomický&amp;C&amp;P&amp;R&amp;D</oddFooter>
  </headerFooter>
  <rowBreaks count="2" manualBreakCount="2">
    <brk id="53" max="16383" man="1"/>
    <brk id="11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1"/>
  <sheetViews>
    <sheetView zoomScaleNormal="100" workbookViewId="0">
      <selection activeCell="I10" sqref="I10"/>
    </sheetView>
  </sheetViews>
  <sheetFormatPr defaultRowHeight="13.2"/>
  <cols>
    <col min="1" max="1" width="4.6640625" style="251" customWidth="1"/>
    <col min="2" max="2" width="36.6640625" style="251" customWidth="1"/>
    <col min="3" max="3" width="11.88671875" style="251" hidden="1" customWidth="1"/>
    <col min="4" max="4" width="39.6640625" style="251" customWidth="1"/>
    <col min="5" max="5" width="10.6640625" style="251" hidden="1" customWidth="1"/>
    <col min="6" max="6" width="9.6640625" style="251" customWidth="1"/>
    <col min="7" max="7" width="12.6640625" style="397" customWidth="1"/>
    <col min="8" max="256" width="9.109375" style="251"/>
    <col min="257" max="257" width="4.6640625" style="251" customWidth="1"/>
    <col min="258" max="258" width="36.6640625" style="251" customWidth="1"/>
    <col min="259" max="259" width="0" style="251" hidden="1" customWidth="1"/>
    <col min="260" max="260" width="39.6640625" style="251" customWidth="1"/>
    <col min="261" max="261" width="0" style="251" hidden="1" customWidth="1"/>
    <col min="262" max="262" width="9.6640625" style="251" customWidth="1"/>
    <col min="263" max="263" width="12.6640625" style="251" customWidth="1"/>
    <col min="264" max="512" width="9.109375" style="251"/>
    <col min="513" max="513" width="4.6640625" style="251" customWidth="1"/>
    <col min="514" max="514" width="36.6640625" style="251" customWidth="1"/>
    <col min="515" max="515" width="0" style="251" hidden="1" customWidth="1"/>
    <col min="516" max="516" width="39.6640625" style="251" customWidth="1"/>
    <col min="517" max="517" width="0" style="251" hidden="1" customWidth="1"/>
    <col min="518" max="518" width="9.6640625" style="251" customWidth="1"/>
    <col min="519" max="519" width="12.6640625" style="251" customWidth="1"/>
    <col min="520" max="768" width="9.109375" style="251"/>
    <col min="769" max="769" width="4.6640625" style="251" customWidth="1"/>
    <col min="770" max="770" width="36.6640625" style="251" customWidth="1"/>
    <col min="771" max="771" width="0" style="251" hidden="1" customWidth="1"/>
    <col min="772" max="772" width="39.6640625" style="251" customWidth="1"/>
    <col min="773" max="773" width="0" style="251" hidden="1" customWidth="1"/>
    <col min="774" max="774" width="9.6640625" style="251" customWidth="1"/>
    <col min="775" max="775" width="12.6640625" style="251" customWidth="1"/>
    <col min="776" max="1024" width="9.109375" style="251"/>
    <col min="1025" max="1025" width="4.6640625" style="251" customWidth="1"/>
    <col min="1026" max="1026" width="36.6640625" style="251" customWidth="1"/>
    <col min="1027" max="1027" width="0" style="251" hidden="1" customWidth="1"/>
    <col min="1028" max="1028" width="39.6640625" style="251" customWidth="1"/>
    <col min="1029" max="1029" width="0" style="251" hidden="1" customWidth="1"/>
    <col min="1030" max="1030" width="9.6640625" style="251" customWidth="1"/>
    <col min="1031" max="1031" width="12.6640625" style="251" customWidth="1"/>
    <col min="1032" max="1280" width="9.109375" style="251"/>
    <col min="1281" max="1281" width="4.6640625" style="251" customWidth="1"/>
    <col min="1282" max="1282" width="36.6640625" style="251" customWidth="1"/>
    <col min="1283" max="1283" width="0" style="251" hidden="1" customWidth="1"/>
    <col min="1284" max="1284" width="39.6640625" style="251" customWidth="1"/>
    <col min="1285" max="1285" width="0" style="251" hidden="1" customWidth="1"/>
    <col min="1286" max="1286" width="9.6640625" style="251" customWidth="1"/>
    <col min="1287" max="1287" width="12.6640625" style="251" customWidth="1"/>
    <col min="1288" max="1536" width="9.109375" style="251"/>
    <col min="1537" max="1537" width="4.6640625" style="251" customWidth="1"/>
    <col min="1538" max="1538" width="36.6640625" style="251" customWidth="1"/>
    <col min="1539" max="1539" width="0" style="251" hidden="1" customWidth="1"/>
    <col min="1540" max="1540" width="39.6640625" style="251" customWidth="1"/>
    <col min="1541" max="1541" width="0" style="251" hidden="1" customWidth="1"/>
    <col min="1542" max="1542" width="9.6640625" style="251" customWidth="1"/>
    <col min="1543" max="1543" width="12.6640625" style="251" customWidth="1"/>
    <col min="1544" max="1792" width="9.109375" style="251"/>
    <col min="1793" max="1793" width="4.6640625" style="251" customWidth="1"/>
    <col min="1794" max="1794" width="36.6640625" style="251" customWidth="1"/>
    <col min="1795" max="1795" width="0" style="251" hidden="1" customWidth="1"/>
    <col min="1796" max="1796" width="39.6640625" style="251" customWidth="1"/>
    <col min="1797" max="1797" width="0" style="251" hidden="1" customWidth="1"/>
    <col min="1798" max="1798" width="9.6640625" style="251" customWidth="1"/>
    <col min="1799" max="1799" width="12.6640625" style="251" customWidth="1"/>
    <col min="1800" max="2048" width="9.109375" style="251"/>
    <col min="2049" max="2049" width="4.6640625" style="251" customWidth="1"/>
    <col min="2050" max="2050" width="36.6640625" style="251" customWidth="1"/>
    <col min="2051" max="2051" width="0" style="251" hidden="1" customWidth="1"/>
    <col min="2052" max="2052" width="39.6640625" style="251" customWidth="1"/>
    <col min="2053" max="2053" width="0" style="251" hidden="1" customWidth="1"/>
    <col min="2054" max="2054" width="9.6640625" style="251" customWidth="1"/>
    <col min="2055" max="2055" width="12.6640625" style="251" customWidth="1"/>
    <col min="2056" max="2304" width="9.109375" style="251"/>
    <col min="2305" max="2305" width="4.6640625" style="251" customWidth="1"/>
    <col min="2306" max="2306" width="36.6640625" style="251" customWidth="1"/>
    <col min="2307" max="2307" width="0" style="251" hidden="1" customWidth="1"/>
    <col min="2308" max="2308" width="39.6640625" style="251" customWidth="1"/>
    <col min="2309" max="2309" width="0" style="251" hidden="1" customWidth="1"/>
    <col min="2310" max="2310" width="9.6640625" style="251" customWidth="1"/>
    <col min="2311" max="2311" width="12.6640625" style="251" customWidth="1"/>
    <col min="2312" max="2560" width="9.109375" style="251"/>
    <col min="2561" max="2561" width="4.6640625" style="251" customWidth="1"/>
    <col min="2562" max="2562" width="36.6640625" style="251" customWidth="1"/>
    <col min="2563" max="2563" width="0" style="251" hidden="1" customWidth="1"/>
    <col min="2564" max="2564" width="39.6640625" style="251" customWidth="1"/>
    <col min="2565" max="2565" width="0" style="251" hidden="1" customWidth="1"/>
    <col min="2566" max="2566" width="9.6640625" style="251" customWidth="1"/>
    <col min="2567" max="2567" width="12.6640625" style="251" customWidth="1"/>
    <col min="2568" max="2816" width="9.109375" style="251"/>
    <col min="2817" max="2817" width="4.6640625" style="251" customWidth="1"/>
    <col min="2818" max="2818" width="36.6640625" style="251" customWidth="1"/>
    <col min="2819" max="2819" width="0" style="251" hidden="1" customWidth="1"/>
    <col min="2820" max="2820" width="39.6640625" style="251" customWidth="1"/>
    <col min="2821" max="2821" width="0" style="251" hidden="1" customWidth="1"/>
    <col min="2822" max="2822" width="9.6640625" style="251" customWidth="1"/>
    <col min="2823" max="2823" width="12.6640625" style="251" customWidth="1"/>
    <col min="2824" max="3072" width="9.109375" style="251"/>
    <col min="3073" max="3073" width="4.6640625" style="251" customWidth="1"/>
    <col min="3074" max="3074" width="36.6640625" style="251" customWidth="1"/>
    <col min="3075" max="3075" width="0" style="251" hidden="1" customWidth="1"/>
    <col min="3076" max="3076" width="39.6640625" style="251" customWidth="1"/>
    <col min="3077" max="3077" width="0" style="251" hidden="1" customWidth="1"/>
    <col min="3078" max="3078" width="9.6640625" style="251" customWidth="1"/>
    <col min="3079" max="3079" width="12.6640625" style="251" customWidth="1"/>
    <col min="3080" max="3328" width="9.109375" style="251"/>
    <col min="3329" max="3329" width="4.6640625" style="251" customWidth="1"/>
    <col min="3330" max="3330" width="36.6640625" style="251" customWidth="1"/>
    <col min="3331" max="3331" width="0" style="251" hidden="1" customWidth="1"/>
    <col min="3332" max="3332" width="39.6640625" style="251" customWidth="1"/>
    <col min="3333" max="3333" width="0" style="251" hidden="1" customWidth="1"/>
    <col min="3334" max="3334" width="9.6640625" style="251" customWidth="1"/>
    <col min="3335" max="3335" width="12.6640625" style="251" customWidth="1"/>
    <col min="3336" max="3584" width="9.109375" style="251"/>
    <col min="3585" max="3585" width="4.6640625" style="251" customWidth="1"/>
    <col min="3586" max="3586" width="36.6640625" style="251" customWidth="1"/>
    <col min="3587" max="3587" width="0" style="251" hidden="1" customWidth="1"/>
    <col min="3588" max="3588" width="39.6640625" style="251" customWidth="1"/>
    <col min="3589" max="3589" width="0" style="251" hidden="1" customWidth="1"/>
    <col min="3590" max="3590" width="9.6640625" style="251" customWidth="1"/>
    <col min="3591" max="3591" width="12.6640625" style="251" customWidth="1"/>
    <col min="3592" max="3840" width="9.109375" style="251"/>
    <col min="3841" max="3841" width="4.6640625" style="251" customWidth="1"/>
    <col min="3842" max="3842" width="36.6640625" style="251" customWidth="1"/>
    <col min="3843" max="3843" width="0" style="251" hidden="1" customWidth="1"/>
    <col min="3844" max="3844" width="39.6640625" style="251" customWidth="1"/>
    <col min="3845" max="3845" width="0" style="251" hidden="1" customWidth="1"/>
    <col min="3846" max="3846" width="9.6640625" style="251" customWidth="1"/>
    <col min="3847" max="3847" width="12.6640625" style="251" customWidth="1"/>
    <col min="3848" max="4096" width="9.109375" style="251"/>
    <col min="4097" max="4097" width="4.6640625" style="251" customWidth="1"/>
    <col min="4098" max="4098" width="36.6640625" style="251" customWidth="1"/>
    <col min="4099" max="4099" width="0" style="251" hidden="1" customWidth="1"/>
    <col min="4100" max="4100" width="39.6640625" style="251" customWidth="1"/>
    <col min="4101" max="4101" width="0" style="251" hidden="1" customWidth="1"/>
    <col min="4102" max="4102" width="9.6640625" style="251" customWidth="1"/>
    <col min="4103" max="4103" width="12.6640625" style="251" customWidth="1"/>
    <col min="4104" max="4352" width="9.109375" style="251"/>
    <col min="4353" max="4353" width="4.6640625" style="251" customWidth="1"/>
    <col min="4354" max="4354" width="36.6640625" style="251" customWidth="1"/>
    <col min="4355" max="4355" width="0" style="251" hidden="1" customWidth="1"/>
    <col min="4356" max="4356" width="39.6640625" style="251" customWidth="1"/>
    <col min="4357" max="4357" width="0" style="251" hidden="1" customWidth="1"/>
    <col min="4358" max="4358" width="9.6640625" style="251" customWidth="1"/>
    <col min="4359" max="4359" width="12.6640625" style="251" customWidth="1"/>
    <col min="4360" max="4608" width="9.109375" style="251"/>
    <col min="4609" max="4609" width="4.6640625" style="251" customWidth="1"/>
    <col min="4610" max="4610" width="36.6640625" style="251" customWidth="1"/>
    <col min="4611" max="4611" width="0" style="251" hidden="1" customWidth="1"/>
    <col min="4612" max="4612" width="39.6640625" style="251" customWidth="1"/>
    <col min="4613" max="4613" width="0" style="251" hidden="1" customWidth="1"/>
    <col min="4614" max="4614" width="9.6640625" style="251" customWidth="1"/>
    <col min="4615" max="4615" width="12.6640625" style="251" customWidth="1"/>
    <col min="4616" max="4864" width="9.109375" style="251"/>
    <col min="4865" max="4865" width="4.6640625" style="251" customWidth="1"/>
    <col min="4866" max="4866" width="36.6640625" style="251" customWidth="1"/>
    <col min="4867" max="4867" width="0" style="251" hidden="1" customWidth="1"/>
    <col min="4868" max="4868" width="39.6640625" style="251" customWidth="1"/>
    <col min="4869" max="4869" width="0" style="251" hidden="1" customWidth="1"/>
    <col min="4870" max="4870" width="9.6640625" style="251" customWidth="1"/>
    <col min="4871" max="4871" width="12.6640625" style="251" customWidth="1"/>
    <col min="4872" max="5120" width="9.109375" style="251"/>
    <col min="5121" max="5121" width="4.6640625" style="251" customWidth="1"/>
    <col min="5122" max="5122" width="36.6640625" style="251" customWidth="1"/>
    <col min="5123" max="5123" width="0" style="251" hidden="1" customWidth="1"/>
    <col min="5124" max="5124" width="39.6640625" style="251" customWidth="1"/>
    <col min="5125" max="5125" width="0" style="251" hidden="1" customWidth="1"/>
    <col min="5126" max="5126" width="9.6640625" style="251" customWidth="1"/>
    <col min="5127" max="5127" width="12.6640625" style="251" customWidth="1"/>
    <col min="5128" max="5376" width="9.109375" style="251"/>
    <col min="5377" max="5377" width="4.6640625" style="251" customWidth="1"/>
    <col min="5378" max="5378" width="36.6640625" style="251" customWidth="1"/>
    <col min="5379" max="5379" width="0" style="251" hidden="1" customWidth="1"/>
    <col min="5380" max="5380" width="39.6640625" style="251" customWidth="1"/>
    <col min="5381" max="5381" width="0" style="251" hidden="1" customWidth="1"/>
    <col min="5382" max="5382" width="9.6640625" style="251" customWidth="1"/>
    <col min="5383" max="5383" width="12.6640625" style="251" customWidth="1"/>
    <col min="5384" max="5632" width="9.109375" style="251"/>
    <col min="5633" max="5633" width="4.6640625" style="251" customWidth="1"/>
    <col min="5634" max="5634" width="36.6640625" style="251" customWidth="1"/>
    <col min="5635" max="5635" width="0" style="251" hidden="1" customWidth="1"/>
    <col min="5636" max="5636" width="39.6640625" style="251" customWidth="1"/>
    <col min="5637" max="5637" width="0" style="251" hidden="1" customWidth="1"/>
    <col min="5638" max="5638" width="9.6640625" style="251" customWidth="1"/>
    <col min="5639" max="5639" width="12.6640625" style="251" customWidth="1"/>
    <col min="5640" max="5888" width="9.109375" style="251"/>
    <col min="5889" max="5889" width="4.6640625" style="251" customWidth="1"/>
    <col min="5890" max="5890" width="36.6640625" style="251" customWidth="1"/>
    <col min="5891" max="5891" width="0" style="251" hidden="1" customWidth="1"/>
    <col min="5892" max="5892" width="39.6640625" style="251" customWidth="1"/>
    <col min="5893" max="5893" width="0" style="251" hidden="1" customWidth="1"/>
    <col min="5894" max="5894" width="9.6640625" style="251" customWidth="1"/>
    <col min="5895" max="5895" width="12.6640625" style="251" customWidth="1"/>
    <col min="5896" max="6144" width="9.109375" style="251"/>
    <col min="6145" max="6145" width="4.6640625" style="251" customWidth="1"/>
    <col min="6146" max="6146" width="36.6640625" style="251" customWidth="1"/>
    <col min="6147" max="6147" width="0" style="251" hidden="1" customWidth="1"/>
    <col min="6148" max="6148" width="39.6640625" style="251" customWidth="1"/>
    <col min="6149" max="6149" width="0" style="251" hidden="1" customWidth="1"/>
    <col min="6150" max="6150" width="9.6640625" style="251" customWidth="1"/>
    <col min="6151" max="6151" width="12.6640625" style="251" customWidth="1"/>
    <col min="6152" max="6400" width="9.109375" style="251"/>
    <col min="6401" max="6401" width="4.6640625" style="251" customWidth="1"/>
    <col min="6402" max="6402" width="36.6640625" style="251" customWidth="1"/>
    <col min="6403" max="6403" width="0" style="251" hidden="1" customWidth="1"/>
    <col min="6404" max="6404" width="39.6640625" style="251" customWidth="1"/>
    <col min="6405" max="6405" width="0" style="251" hidden="1" customWidth="1"/>
    <col min="6406" max="6406" width="9.6640625" style="251" customWidth="1"/>
    <col min="6407" max="6407" width="12.6640625" style="251" customWidth="1"/>
    <col min="6408" max="6656" width="9.109375" style="251"/>
    <col min="6657" max="6657" width="4.6640625" style="251" customWidth="1"/>
    <col min="6658" max="6658" width="36.6640625" style="251" customWidth="1"/>
    <col min="6659" max="6659" width="0" style="251" hidden="1" customWidth="1"/>
    <col min="6660" max="6660" width="39.6640625" style="251" customWidth="1"/>
    <col min="6661" max="6661" width="0" style="251" hidden="1" customWidth="1"/>
    <col min="6662" max="6662" width="9.6640625" style="251" customWidth="1"/>
    <col min="6663" max="6663" width="12.6640625" style="251" customWidth="1"/>
    <col min="6664" max="6912" width="9.109375" style="251"/>
    <col min="6913" max="6913" width="4.6640625" style="251" customWidth="1"/>
    <col min="6914" max="6914" width="36.6640625" style="251" customWidth="1"/>
    <col min="6915" max="6915" width="0" style="251" hidden="1" customWidth="1"/>
    <col min="6916" max="6916" width="39.6640625" style="251" customWidth="1"/>
    <col min="6917" max="6917" width="0" style="251" hidden="1" customWidth="1"/>
    <col min="6918" max="6918" width="9.6640625" style="251" customWidth="1"/>
    <col min="6919" max="6919" width="12.6640625" style="251" customWidth="1"/>
    <col min="6920" max="7168" width="9.109375" style="251"/>
    <col min="7169" max="7169" width="4.6640625" style="251" customWidth="1"/>
    <col min="7170" max="7170" width="36.6640625" style="251" customWidth="1"/>
    <col min="7171" max="7171" width="0" style="251" hidden="1" customWidth="1"/>
    <col min="7172" max="7172" width="39.6640625" style="251" customWidth="1"/>
    <col min="7173" max="7173" width="0" style="251" hidden="1" customWidth="1"/>
    <col min="7174" max="7174" width="9.6640625" style="251" customWidth="1"/>
    <col min="7175" max="7175" width="12.6640625" style="251" customWidth="1"/>
    <col min="7176" max="7424" width="9.109375" style="251"/>
    <col min="7425" max="7425" width="4.6640625" style="251" customWidth="1"/>
    <col min="7426" max="7426" width="36.6640625" style="251" customWidth="1"/>
    <col min="7427" max="7427" width="0" style="251" hidden="1" customWidth="1"/>
    <col min="7428" max="7428" width="39.6640625" style="251" customWidth="1"/>
    <col min="7429" max="7429" width="0" style="251" hidden="1" customWidth="1"/>
    <col min="7430" max="7430" width="9.6640625" style="251" customWidth="1"/>
    <col min="7431" max="7431" width="12.6640625" style="251" customWidth="1"/>
    <col min="7432" max="7680" width="9.109375" style="251"/>
    <col min="7681" max="7681" width="4.6640625" style="251" customWidth="1"/>
    <col min="7682" max="7682" width="36.6640625" style="251" customWidth="1"/>
    <col min="7683" max="7683" width="0" style="251" hidden="1" customWidth="1"/>
    <col min="7684" max="7684" width="39.6640625" style="251" customWidth="1"/>
    <col min="7685" max="7685" width="0" style="251" hidden="1" customWidth="1"/>
    <col min="7686" max="7686" width="9.6640625" style="251" customWidth="1"/>
    <col min="7687" max="7687" width="12.6640625" style="251" customWidth="1"/>
    <col min="7688" max="7936" width="9.109375" style="251"/>
    <col min="7937" max="7937" width="4.6640625" style="251" customWidth="1"/>
    <col min="7938" max="7938" width="36.6640625" style="251" customWidth="1"/>
    <col min="7939" max="7939" width="0" style="251" hidden="1" customWidth="1"/>
    <col min="7940" max="7940" width="39.6640625" style="251" customWidth="1"/>
    <col min="7941" max="7941" width="0" style="251" hidden="1" customWidth="1"/>
    <col min="7942" max="7942" width="9.6640625" style="251" customWidth="1"/>
    <col min="7943" max="7943" width="12.6640625" style="251" customWidth="1"/>
    <col min="7944" max="8192" width="9.109375" style="251"/>
    <col min="8193" max="8193" width="4.6640625" style="251" customWidth="1"/>
    <col min="8194" max="8194" width="36.6640625" style="251" customWidth="1"/>
    <col min="8195" max="8195" width="0" style="251" hidden="1" customWidth="1"/>
    <col min="8196" max="8196" width="39.6640625" style="251" customWidth="1"/>
    <col min="8197" max="8197" width="0" style="251" hidden="1" customWidth="1"/>
    <col min="8198" max="8198" width="9.6640625" style="251" customWidth="1"/>
    <col min="8199" max="8199" width="12.6640625" style="251" customWidth="1"/>
    <col min="8200" max="8448" width="9.109375" style="251"/>
    <col min="8449" max="8449" width="4.6640625" style="251" customWidth="1"/>
    <col min="8450" max="8450" width="36.6640625" style="251" customWidth="1"/>
    <col min="8451" max="8451" width="0" style="251" hidden="1" customWidth="1"/>
    <col min="8452" max="8452" width="39.6640625" style="251" customWidth="1"/>
    <col min="8453" max="8453" width="0" style="251" hidden="1" customWidth="1"/>
    <col min="8454" max="8454" width="9.6640625" style="251" customWidth="1"/>
    <col min="8455" max="8455" width="12.6640625" style="251" customWidth="1"/>
    <col min="8456" max="8704" width="9.109375" style="251"/>
    <col min="8705" max="8705" width="4.6640625" style="251" customWidth="1"/>
    <col min="8706" max="8706" width="36.6640625" style="251" customWidth="1"/>
    <col min="8707" max="8707" width="0" style="251" hidden="1" customWidth="1"/>
    <col min="8708" max="8708" width="39.6640625" style="251" customWidth="1"/>
    <col min="8709" max="8709" width="0" style="251" hidden="1" customWidth="1"/>
    <col min="8710" max="8710" width="9.6640625" style="251" customWidth="1"/>
    <col min="8711" max="8711" width="12.6640625" style="251" customWidth="1"/>
    <col min="8712" max="8960" width="9.109375" style="251"/>
    <col min="8961" max="8961" width="4.6640625" style="251" customWidth="1"/>
    <col min="8962" max="8962" width="36.6640625" style="251" customWidth="1"/>
    <col min="8963" max="8963" width="0" style="251" hidden="1" customWidth="1"/>
    <col min="8964" max="8964" width="39.6640625" style="251" customWidth="1"/>
    <col min="8965" max="8965" width="0" style="251" hidden="1" customWidth="1"/>
    <col min="8966" max="8966" width="9.6640625" style="251" customWidth="1"/>
    <col min="8967" max="8967" width="12.6640625" style="251" customWidth="1"/>
    <col min="8968" max="9216" width="9.109375" style="251"/>
    <col min="9217" max="9217" width="4.6640625" style="251" customWidth="1"/>
    <col min="9218" max="9218" width="36.6640625" style="251" customWidth="1"/>
    <col min="9219" max="9219" width="0" style="251" hidden="1" customWidth="1"/>
    <col min="9220" max="9220" width="39.6640625" style="251" customWidth="1"/>
    <col min="9221" max="9221" width="0" style="251" hidden="1" customWidth="1"/>
    <col min="9222" max="9222" width="9.6640625" style="251" customWidth="1"/>
    <col min="9223" max="9223" width="12.6640625" style="251" customWidth="1"/>
    <col min="9224" max="9472" width="9.109375" style="251"/>
    <col min="9473" max="9473" width="4.6640625" style="251" customWidth="1"/>
    <col min="9474" max="9474" width="36.6640625" style="251" customWidth="1"/>
    <col min="9475" max="9475" width="0" style="251" hidden="1" customWidth="1"/>
    <col min="9476" max="9476" width="39.6640625" style="251" customWidth="1"/>
    <col min="9477" max="9477" width="0" style="251" hidden="1" customWidth="1"/>
    <col min="9478" max="9478" width="9.6640625" style="251" customWidth="1"/>
    <col min="9479" max="9479" width="12.6640625" style="251" customWidth="1"/>
    <col min="9480" max="9728" width="9.109375" style="251"/>
    <col min="9729" max="9729" width="4.6640625" style="251" customWidth="1"/>
    <col min="9730" max="9730" width="36.6640625" style="251" customWidth="1"/>
    <col min="9731" max="9731" width="0" style="251" hidden="1" customWidth="1"/>
    <col min="9732" max="9732" width="39.6640625" style="251" customWidth="1"/>
    <col min="9733" max="9733" width="0" style="251" hidden="1" customWidth="1"/>
    <col min="9734" max="9734" width="9.6640625" style="251" customWidth="1"/>
    <col min="9735" max="9735" width="12.6640625" style="251" customWidth="1"/>
    <col min="9736" max="9984" width="9.109375" style="251"/>
    <col min="9985" max="9985" width="4.6640625" style="251" customWidth="1"/>
    <col min="9986" max="9986" width="36.6640625" style="251" customWidth="1"/>
    <col min="9987" max="9987" width="0" style="251" hidden="1" customWidth="1"/>
    <col min="9988" max="9988" width="39.6640625" style="251" customWidth="1"/>
    <col min="9989" max="9989" width="0" style="251" hidden="1" customWidth="1"/>
    <col min="9990" max="9990" width="9.6640625" style="251" customWidth="1"/>
    <col min="9991" max="9991" width="12.6640625" style="251" customWidth="1"/>
    <col min="9992" max="10240" width="9.109375" style="251"/>
    <col min="10241" max="10241" width="4.6640625" style="251" customWidth="1"/>
    <col min="10242" max="10242" width="36.6640625" style="251" customWidth="1"/>
    <col min="10243" max="10243" width="0" style="251" hidden="1" customWidth="1"/>
    <col min="10244" max="10244" width="39.6640625" style="251" customWidth="1"/>
    <col min="10245" max="10245" width="0" style="251" hidden="1" customWidth="1"/>
    <col min="10246" max="10246" width="9.6640625" style="251" customWidth="1"/>
    <col min="10247" max="10247" width="12.6640625" style="251" customWidth="1"/>
    <col min="10248" max="10496" width="9.109375" style="251"/>
    <col min="10497" max="10497" width="4.6640625" style="251" customWidth="1"/>
    <col min="10498" max="10498" width="36.6640625" style="251" customWidth="1"/>
    <col min="10499" max="10499" width="0" style="251" hidden="1" customWidth="1"/>
    <col min="10500" max="10500" width="39.6640625" style="251" customWidth="1"/>
    <col min="10501" max="10501" width="0" style="251" hidden="1" customWidth="1"/>
    <col min="10502" max="10502" width="9.6640625" style="251" customWidth="1"/>
    <col min="10503" max="10503" width="12.6640625" style="251" customWidth="1"/>
    <col min="10504" max="10752" width="9.109375" style="251"/>
    <col min="10753" max="10753" width="4.6640625" style="251" customWidth="1"/>
    <col min="10754" max="10754" width="36.6640625" style="251" customWidth="1"/>
    <col min="10755" max="10755" width="0" style="251" hidden="1" customWidth="1"/>
    <col min="10756" max="10756" width="39.6640625" style="251" customWidth="1"/>
    <col min="10757" max="10757" width="0" style="251" hidden="1" customWidth="1"/>
    <col min="10758" max="10758" width="9.6640625" style="251" customWidth="1"/>
    <col min="10759" max="10759" width="12.6640625" style="251" customWidth="1"/>
    <col min="10760" max="11008" width="9.109375" style="251"/>
    <col min="11009" max="11009" width="4.6640625" style="251" customWidth="1"/>
    <col min="11010" max="11010" width="36.6640625" style="251" customWidth="1"/>
    <col min="11011" max="11011" width="0" style="251" hidden="1" customWidth="1"/>
    <col min="11012" max="11012" width="39.6640625" style="251" customWidth="1"/>
    <col min="11013" max="11013" width="0" style="251" hidden="1" customWidth="1"/>
    <col min="11014" max="11014" width="9.6640625" style="251" customWidth="1"/>
    <col min="11015" max="11015" width="12.6640625" style="251" customWidth="1"/>
    <col min="11016" max="11264" width="9.109375" style="251"/>
    <col min="11265" max="11265" width="4.6640625" style="251" customWidth="1"/>
    <col min="11266" max="11266" width="36.6640625" style="251" customWidth="1"/>
    <col min="11267" max="11267" width="0" style="251" hidden="1" customWidth="1"/>
    <col min="11268" max="11268" width="39.6640625" style="251" customWidth="1"/>
    <col min="11269" max="11269" width="0" style="251" hidden="1" customWidth="1"/>
    <col min="11270" max="11270" width="9.6640625" style="251" customWidth="1"/>
    <col min="11271" max="11271" width="12.6640625" style="251" customWidth="1"/>
    <col min="11272" max="11520" width="9.109375" style="251"/>
    <col min="11521" max="11521" width="4.6640625" style="251" customWidth="1"/>
    <col min="11522" max="11522" width="36.6640625" style="251" customWidth="1"/>
    <col min="11523" max="11523" width="0" style="251" hidden="1" customWidth="1"/>
    <col min="11524" max="11524" width="39.6640625" style="251" customWidth="1"/>
    <col min="11525" max="11525" width="0" style="251" hidden="1" customWidth="1"/>
    <col min="11526" max="11526" width="9.6640625" style="251" customWidth="1"/>
    <col min="11527" max="11527" width="12.6640625" style="251" customWidth="1"/>
    <col min="11528" max="11776" width="9.109375" style="251"/>
    <col min="11777" max="11777" width="4.6640625" style="251" customWidth="1"/>
    <col min="11778" max="11778" width="36.6640625" style="251" customWidth="1"/>
    <col min="11779" max="11779" width="0" style="251" hidden="1" customWidth="1"/>
    <col min="11780" max="11780" width="39.6640625" style="251" customWidth="1"/>
    <col min="11781" max="11781" width="0" style="251" hidden="1" customWidth="1"/>
    <col min="11782" max="11782" width="9.6640625" style="251" customWidth="1"/>
    <col min="11783" max="11783" width="12.6640625" style="251" customWidth="1"/>
    <col min="11784" max="12032" width="9.109375" style="251"/>
    <col min="12033" max="12033" width="4.6640625" style="251" customWidth="1"/>
    <col min="12034" max="12034" width="36.6640625" style="251" customWidth="1"/>
    <col min="12035" max="12035" width="0" style="251" hidden="1" customWidth="1"/>
    <col min="12036" max="12036" width="39.6640625" style="251" customWidth="1"/>
    <col min="12037" max="12037" width="0" style="251" hidden="1" customWidth="1"/>
    <col min="12038" max="12038" width="9.6640625" style="251" customWidth="1"/>
    <col min="12039" max="12039" width="12.6640625" style="251" customWidth="1"/>
    <col min="12040" max="12288" width="9.109375" style="251"/>
    <col min="12289" max="12289" width="4.6640625" style="251" customWidth="1"/>
    <col min="12290" max="12290" width="36.6640625" style="251" customWidth="1"/>
    <col min="12291" max="12291" width="0" style="251" hidden="1" customWidth="1"/>
    <col min="12292" max="12292" width="39.6640625" style="251" customWidth="1"/>
    <col min="12293" max="12293" width="0" style="251" hidden="1" customWidth="1"/>
    <col min="12294" max="12294" width="9.6640625" style="251" customWidth="1"/>
    <col min="12295" max="12295" width="12.6640625" style="251" customWidth="1"/>
    <col min="12296" max="12544" width="9.109375" style="251"/>
    <col min="12545" max="12545" width="4.6640625" style="251" customWidth="1"/>
    <col min="12546" max="12546" width="36.6640625" style="251" customWidth="1"/>
    <col min="12547" max="12547" width="0" style="251" hidden="1" customWidth="1"/>
    <col min="12548" max="12548" width="39.6640625" style="251" customWidth="1"/>
    <col min="12549" max="12549" width="0" style="251" hidden="1" customWidth="1"/>
    <col min="12550" max="12550" width="9.6640625" style="251" customWidth="1"/>
    <col min="12551" max="12551" width="12.6640625" style="251" customWidth="1"/>
    <col min="12552" max="12800" width="9.109375" style="251"/>
    <col min="12801" max="12801" width="4.6640625" style="251" customWidth="1"/>
    <col min="12802" max="12802" width="36.6640625" style="251" customWidth="1"/>
    <col min="12803" max="12803" width="0" style="251" hidden="1" customWidth="1"/>
    <col min="12804" max="12804" width="39.6640625" style="251" customWidth="1"/>
    <col min="12805" max="12805" width="0" style="251" hidden="1" customWidth="1"/>
    <col min="12806" max="12806" width="9.6640625" style="251" customWidth="1"/>
    <col min="12807" max="12807" width="12.6640625" style="251" customWidth="1"/>
    <col min="12808" max="13056" width="9.109375" style="251"/>
    <col min="13057" max="13057" width="4.6640625" style="251" customWidth="1"/>
    <col min="13058" max="13058" width="36.6640625" style="251" customWidth="1"/>
    <col min="13059" max="13059" width="0" style="251" hidden="1" customWidth="1"/>
    <col min="13060" max="13060" width="39.6640625" style="251" customWidth="1"/>
    <col min="13061" max="13061" width="0" style="251" hidden="1" customWidth="1"/>
    <col min="13062" max="13062" width="9.6640625" style="251" customWidth="1"/>
    <col min="13063" max="13063" width="12.6640625" style="251" customWidth="1"/>
    <col min="13064" max="13312" width="9.109375" style="251"/>
    <col min="13313" max="13313" width="4.6640625" style="251" customWidth="1"/>
    <col min="13314" max="13314" width="36.6640625" style="251" customWidth="1"/>
    <col min="13315" max="13315" width="0" style="251" hidden="1" customWidth="1"/>
    <col min="13316" max="13316" width="39.6640625" style="251" customWidth="1"/>
    <col min="13317" max="13317" width="0" style="251" hidden="1" customWidth="1"/>
    <col min="13318" max="13318" width="9.6640625" style="251" customWidth="1"/>
    <col min="13319" max="13319" width="12.6640625" style="251" customWidth="1"/>
    <col min="13320" max="13568" width="9.109375" style="251"/>
    <col min="13569" max="13569" width="4.6640625" style="251" customWidth="1"/>
    <col min="13570" max="13570" width="36.6640625" style="251" customWidth="1"/>
    <col min="13571" max="13571" width="0" style="251" hidden="1" customWidth="1"/>
    <col min="13572" max="13572" width="39.6640625" style="251" customWidth="1"/>
    <col min="13573" max="13573" width="0" style="251" hidden="1" customWidth="1"/>
    <col min="13574" max="13574" width="9.6640625" style="251" customWidth="1"/>
    <col min="13575" max="13575" width="12.6640625" style="251" customWidth="1"/>
    <col min="13576" max="13824" width="9.109375" style="251"/>
    <col min="13825" max="13825" width="4.6640625" style="251" customWidth="1"/>
    <col min="13826" max="13826" width="36.6640625" style="251" customWidth="1"/>
    <col min="13827" max="13827" width="0" style="251" hidden="1" customWidth="1"/>
    <col min="13828" max="13828" width="39.6640625" style="251" customWidth="1"/>
    <col min="13829" max="13829" width="0" style="251" hidden="1" customWidth="1"/>
    <col min="13830" max="13830" width="9.6640625" style="251" customWidth="1"/>
    <col min="13831" max="13831" width="12.6640625" style="251" customWidth="1"/>
    <col min="13832" max="14080" width="9.109375" style="251"/>
    <col min="14081" max="14081" width="4.6640625" style="251" customWidth="1"/>
    <col min="14082" max="14082" width="36.6640625" style="251" customWidth="1"/>
    <col min="14083" max="14083" width="0" style="251" hidden="1" customWidth="1"/>
    <col min="14084" max="14084" width="39.6640625" style="251" customWidth="1"/>
    <col min="14085" max="14085" width="0" style="251" hidden="1" customWidth="1"/>
    <col min="14086" max="14086" width="9.6640625" style="251" customWidth="1"/>
    <col min="14087" max="14087" width="12.6640625" style="251" customWidth="1"/>
    <col min="14088" max="14336" width="9.109375" style="251"/>
    <col min="14337" max="14337" width="4.6640625" style="251" customWidth="1"/>
    <col min="14338" max="14338" width="36.6640625" style="251" customWidth="1"/>
    <col min="14339" max="14339" width="0" style="251" hidden="1" customWidth="1"/>
    <col min="14340" max="14340" width="39.6640625" style="251" customWidth="1"/>
    <col min="14341" max="14341" width="0" style="251" hidden="1" customWidth="1"/>
    <col min="14342" max="14342" width="9.6640625" style="251" customWidth="1"/>
    <col min="14343" max="14343" width="12.6640625" style="251" customWidth="1"/>
    <col min="14344" max="14592" width="9.109375" style="251"/>
    <col min="14593" max="14593" width="4.6640625" style="251" customWidth="1"/>
    <col min="14594" max="14594" width="36.6640625" style="251" customWidth="1"/>
    <col min="14595" max="14595" width="0" style="251" hidden="1" customWidth="1"/>
    <col min="14596" max="14596" width="39.6640625" style="251" customWidth="1"/>
    <col min="14597" max="14597" width="0" style="251" hidden="1" customWidth="1"/>
    <col min="14598" max="14598" width="9.6640625" style="251" customWidth="1"/>
    <col min="14599" max="14599" width="12.6640625" style="251" customWidth="1"/>
    <col min="14600" max="14848" width="9.109375" style="251"/>
    <col min="14849" max="14849" width="4.6640625" style="251" customWidth="1"/>
    <col min="14850" max="14850" width="36.6640625" style="251" customWidth="1"/>
    <col min="14851" max="14851" width="0" style="251" hidden="1" customWidth="1"/>
    <col min="14852" max="14852" width="39.6640625" style="251" customWidth="1"/>
    <col min="14853" max="14853" width="0" style="251" hidden="1" customWidth="1"/>
    <col min="14854" max="14854" width="9.6640625" style="251" customWidth="1"/>
    <col min="14855" max="14855" width="12.6640625" style="251" customWidth="1"/>
    <col min="14856" max="15104" width="9.109375" style="251"/>
    <col min="15105" max="15105" width="4.6640625" style="251" customWidth="1"/>
    <col min="15106" max="15106" width="36.6640625" style="251" customWidth="1"/>
    <col min="15107" max="15107" width="0" style="251" hidden="1" customWidth="1"/>
    <col min="15108" max="15108" width="39.6640625" style="251" customWidth="1"/>
    <col min="15109" max="15109" width="0" style="251" hidden="1" customWidth="1"/>
    <col min="15110" max="15110" width="9.6640625" style="251" customWidth="1"/>
    <col min="15111" max="15111" width="12.6640625" style="251" customWidth="1"/>
    <col min="15112" max="15360" width="9.109375" style="251"/>
    <col min="15361" max="15361" width="4.6640625" style="251" customWidth="1"/>
    <col min="15362" max="15362" width="36.6640625" style="251" customWidth="1"/>
    <col min="15363" max="15363" width="0" style="251" hidden="1" customWidth="1"/>
    <col min="15364" max="15364" width="39.6640625" style="251" customWidth="1"/>
    <col min="15365" max="15365" width="0" style="251" hidden="1" customWidth="1"/>
    <col min="15366" max="15366" width="9.6640625" style="251" customWidth="1"/>
    <col min="15367" max="15367" width="12.6640625" style="251" customWidth="1"/>
    <col min="15368" max="15616" width="9.109375" style="251"/>
    <col min="15617" max="15617" width="4.6640625" style="251" customWidth="1"/>
    <col min="15618" max="15618" width="36.6640625" style="251" customWidth="1"/>
    <col min="15619" max="15619" width="0" style="251" hidden="1" customWidth="1"/>
    <col min="15620" max="15620" width="39.6640625" style="251" customWidth="1"/>
    <col min="15621" max="15621" width="0" style="251" hidden="1" customWidth="1"/>
    <col min="15622" max="15622" width="9.6640625" style="251" customWidth="1"/>
    <col min="15623" max="15623" width="12.6640625" style="251" customWidth="1"/>
    <col min="15624" max="15872" width="9.109375" style="251"/>
    <col min="15873" max="15873" width="4.6640625" style="251" customWidth="1"/>
    <col min="15874" max="15874" width="36.6640625" style="251" customWidth="1"/>
    <col min="15875" max="15875" width="0" style="251" hidden="1" customWidth="1"/>
    <col min="15876" max="15876" width="39.6640625" style="251" customWidth="1"/>
    <col min="15877" max="15877" width="0" style="251" hidden="1" customWidth="1"/>
    <col min="15878" max="15878" width="9.6640625" style="251" customWidth="1"/>
    <col min="15879" max="15879" width="12.6640625" style="251" customWidth="1"/>
    <col min="15880" max="16128" width="9.109375" style="251"/>
    <col min="16129" max="16129" width="4.6640625" style="251" customWidth="1"/>
    <col min="16130" max="16130" width="36.6640625" style="251" customWidth="1"/>
    <col min="16131" max="16131" width="0" style="251" hidden="1" customWidth="1"/>
    <col min="16132" max="16132" width="39.6640625" style="251" customWidth="1"/>
    <col min="16133" max="16133" width="0" style="251" hidden="1" customWidth="1"/>
    <col min="16134" max="16134" width="9.6640625" style="251" customWidth="1"/>
    <col min="16135" max="16135" width="12.6640625" style="251" customWidth="1"/>
    <col min="16136" max="16384" width="9.109375" style="251"/>
  </cols>
  <sheetData>
    <row r="1" spans="1:7" ht="12.9" customHeight="1">
      <c r="A1" s="1083" t="s">
        <v>2593</v>
      </c>
      <c r="B1" s="1083"/>
      <c r="C1" s="1083"/>
      <c r="D1" s="1083"/>
      <c r="E1" s="1083"/>
      <c r="F1" s="1083"/>
      <c r="G1" s="1083"/>
    </row>
    <row r="2" spans="1:7" ht="12.9" customHeight="1">
      <c r="A2" s="1083" t="s">
        <v>2594</v>
      </c>
      <c r="B2" s="1083"/>
      <c r="C2" s="1083"/>
      <c r="D2" s="1083"/>
      <c r="E2" s="1083"/>
      <c r="F2" s="1083"/>
      <c r="G2" s="1083"/>
    </row>
    <row r="3" spans="1:7" ht="12.9" customHeight="1" thickBot="1">
      <c r="A3" s="390"/>
      <c r="B3" s="390"/>
      <c r="C3" s="390"/>
      <c r="D3" s="390"/>
      <c r="E3" s="390"/>
      <c r="F3" s="390"/>
      <c r="G3" s="390"/>
    </row>
    <row r="4" spans="1:7" ht="15" customHeight="1" thickBot="1">
      <c r="A4" s="391"/>
      <c r="B4" s="302" t="s">
        <v>1576</v>
      </c>
      <c r="C4" s="304"/>
      <c r="D4" s="304" t="s">
        <v>1577</v>
      </c>
      <c r="E4" s="304" t="s">
        <v>1128</v>
      </c>
      <c r="F4" s="304" t="s">
        <v>1128</v>
      </c>
      <c r="G4" s="305" t="s">
        <v>1256</v>
      </c>
    </row>
    <row r="5" spans="1:7" ht="12.9" customHeight="1">
      <c r="A5" s="1039" t="s">
        <v>2189</v>
      </c>
      <c r="B5" s="280" t="s">
        <v>2190</v>
      </c>
      <c r="C5" s="280" t="s">
        <v>1713</v>
      </c>
      <c r="D5" s="280" t="s">
        <v>1714</v>
      </c>
      <c r="E5" s="281">
        <v>45000</v>
      </c>
      <c r="F5" s="392">
        <f>E5/1000</f>
        <v>45</v>
      </c>
      <c r="G5" s="282" t="s">
        <v>1706</v>
      </c>
    </row>
    <row r="6" spans="1:7" ht="12.9" customHeight="1">
      <c r="A6" s="1041"/>
      <c r="B6" s="1045" t="s">
        <v>2194</v>
      </c>
      <c r="C6" s="277" t="s">
        <v>1711</v>
      </c>
      <c r="D6" s="277" t="s">
        <v>1712</v>
      </c>
      <c r="E6" s="278">
        <v>91000</v>
      </c>
      <c r="F6" s="392">
        <f t="shared" ref="F6:F69" si="0">E6/1000</f>
        <v>91</v>
      </c>
      <c r="G6" s="279" t="s">
        <v>1706</v>
      </c>
    </row>
    <row r="7" spans="1:7" ht="12.9" customHeight="1">
      <c r="A7" s="1041"/>
      <c r="B7" s="1045"/>
      <c r="C7" s="277" t="s">
        <v>1713</v>
      </c>
      <c r="D7" s="277" t="s">
        <v>1714</v>
      </c>
      <c r="E7" s="278">
        <v>4000</v>
      </c>
      <c r="F7" s="392">
        <f t="shared" si="0"/>
        <v>4</v>
      </c>
      <c r="G7" s="279" t="s">
        <v>1706</v>
      </c>
    </row>
    <row r="8" spans="1:7" ht="12.9" customHeight="1">
      <c r="A8" s="1041"/>
      <c r="B8" s="277" t="s">
        <v>2196</v>
      </c>
      <c r="C8" s="277" t="s">
        <v>1713</v>
      </c>
      <c r="D8" s="277" t="s">
        <v>1714</v>
      </c>
      <c r="E8" s="278">
        <v>3000</v>
      </c>
      <c r="F8" s="392">
        <f t="shared" si="0"/>
        <v>3</v>
      </c>
      <c r="G8" s="279" t="s">
        <v>1706</v>
      </c>
    </row>
    <row r="9" spans="1:7" ht="12.9" customHeight="1">
      <c r="A9" s="1041"/>
      <c r="B9" s="1045" t="s">
        <v>2198</v>
      </c>
      <c r="C9" s="277" t="s">
        <v>1711</v>
      </c>
      <c r="D9" s="277" t="s">
        <v>1712</v>
      </c>
      <c r="E9" s="278">
        <v>220000</v>
      </c>
      <c r="F9" s="392">
        <f t="shared" si="0"/>
        <v>220</v>
      </c>
      <c r="G9" s="279" t="s">
        <v>1706</v>
      </c>
    </row>
    <row r="10" spans="1:7" ht="12.9" customHeight="1">
      <c r="A10" s="1041"/>
      <c r="B10" s="1045"/>
      <c r="C10" s="277" t="s">
        <v>1713</v>
      </c>
      <c r="D10" s="277" t="s">
        <v>1714</v>
      </c>
      <c r="E10" s="278">
        <v>25000</v>
      </c>
      <c r="F10" s="392">
        <f t="shared" si="0"/>
        <v>25</v>
      </c>
      <c r="G10" s="279" t="s">
        <v>1706</v>
      </c>
    </row>
    <row r="11" spans="1:7" ht="12.9" customHeight="1">
      <c r="A11" s="1041" t="s">
        <v>2200</v>
      </c>
      <c r="B11" s="277" t="s">
        <v>2201</v>
      </c>
      <c r="C11" s="277" t="s">
        <v>1713</v>
      </c>
      <c r="D11" s="277" t="s">
        <v>1714</v>
      </c>
      <c r="E11" s="278">
        <v>96000</v>
      </c>
      <c r="F11" s="392">
        <f t="shared" si="0"/>
        <v>96</v>
      </c>
      <c r="G11" s="279" t="s">
        <v>1706</v>
      </c>
    </row>
    <row r="12" spans="1:7" ht="12.9" customHeight="1">
      <c r="A12" s="1041"/>
      <c r="B12" s="1045" t="s">
        <v>2202</v>
      </c>
      <c r="C12" s="277" t="s">
        <v>1711</v>
      </c>
      <c r="D12" s="277" t="s">
        <v>1712</v>
      </c>
      <c r="E12" s="278">
        <v>272000</v>
      </c>
      <c r="F12" s="392">
        <f t="shared" si="0"/>
        <v>272</v>
      </c>
      <c r="G12" s="279" t="s">
        <v>1706</v>
      </c>
    </row>
    <row r="13" spans="1:7" ht="12.9" customHeight="1">
      <c r="A13" s="1041"/>
      <c r="B13" s="1045"/>
      <c r="C13" s="277" t="s">
        <v>1713</v>
      </c>
      <c r="D13" s="277" t="s">
        <v>1714</v>
      </c>
      <c r="E13" s="278">
        <v>32000</v>
      </c>
      <c r="F13" s="392">
        <f t="shared" si="0"/>
        <v>32</v>
      </c>
      <c r="G13" s="279" t="s">
        <v>1706</v>
      </c>
    </row>
    <row r="14" spans="1:7" ht="12.9" customHeight="1">
      <c r="A14" s="1041"/>
      <c r="B14" s="277" t="s">
        <v>2203</v>
      </c>
      <c r="C14" s="277" t="s">
        <v>1711</v>
      </c>
      <c r="D14" s="277" t="s">
        <v>1712</v>
      </c>
      <c r="E14" s="278">
        <v>258000</v>
      </c>
      <c r="F14" s="392">
        <f t="shared" si="0"/>
        <v>258</v>
      </c>
      <c r="G14" s="279" t="s">
        <v>1706</v>
      </c>
    </row>
    <row r="15" spans="1:7" ht="12.9" customHeight="1">
      <c r="A15" s="1041"/>
      <c r="B15" s="277" t="s">
        <v>2204</v>
      </c>
      <c r="C15" s="277" t="s">
        <v>1711</v>
      </c>
      <c r="D15" s="277" t="s">
        <v>1712</v>
      </c>
      <c r="E15" s="278">
        <v>137000</v>
      </c>
      <c r="F15" s="392">
        <f t="shared" si="0"/>
        <v>137</v>
      </c>
      <c r="G15" s="279" t="s">
        <v>1706</v>
      </c>
    </row>
    <row r="16" spans="1:7" ht="12.9" customHeight="1">
      <c r="A16" s="1041"/>
      <c r="B16" s="277" t="s">
        <v>2207</v>
      </c>
      <c r="C16" s="277" t="s">
        <v>1713</v>
      </c>
      <c r="D16" s="277" t="s">
        <v>1714</v>
      </c>
      <c r="E16" s="278">
        <v>9000</v>
      </c>
      <c r="F16" s="392">
        <f t="shared" si="0"/>
        <v>9</v>
      </c>
      <c r="G16" s="279" t="s">
        <v>1706</v>
      </c>
    </row>
    <row r="17" spans="1:7" ht="12.9" customHeight="1">
      <c r="A17" s="1041"/>
      <c r="B17" s="1045" t="s">
        <v>2209</v>
      </c>
      <c r="C17" s="277" t="s">
        <v>1711</v>
      </c>
      <c r="D17" s="277" t="s">
        <v>1712</v>
      </c>
      <c r="E17" s="278">
        <v>54000</v>
      </c>
      <c r="F17" s="392">
        <f t="shared" si="0"/>
        <v>54</v>
      </c>
      <c r="G17" s="279" t="s">
        <v>1706</v>
      </c>
    </row>
    <row r="18" spans="1:7" ht="12.9" customHeight="1">
      <c r="A18" s="1041"/>
      <c r="B18" s="1045"/>
      <c r="C18" s="277" t="s">
        <v>1713</v>
      </c>
      <c r="D18" s="277" t="s">
        <v>1714</v>
      </c>
      <c r="E18" s="278">
        <v>4000</v>
      </c>
      <c r="F18" s="392">
        <f t="shared" si="0"/>
        <v>4</v>
      </c>
      <c r="G18" s="279" t="s">
        <v>1706</v>
      </c>
    </row>
    <row r="19" spans="1:7" ht="12.9" customHeight="1">
      <c r="A19" s="1041"/>
      <c r="B19" s="277" t="s">
        <v>2211</v>
      </c>
      <c r="C19" s="277" t="s">
        <v>1713</v>
      </c>
      <c r="D19" s="277" t="s">
        <v>1714</v>
      </c>
      <c r="E19" s="278">
        <v>14000</v>
      </c>
      <c r="F19" s="392">
        <f t="shared" si="0"/>
        <v>14</v>
      </c>
      <c r="G19" s="279" t="s">
        <v>1706</v>
      </c>
    </row>
    <row r="20" spans="1:7" ht="12.9" customHeight="1">
      <c r="A20" s="1041"/>
      <c r="B20" s="277" t="s">
        <v>2213</v>
      </c>
      <c r="C20" s="277" t="s">
        <v>1713</v>
      </c>
      <c r="D20" s="277" t="s">
        <v>1714</v>
      </c>
      <c r="E20" s="278">
        <v>11000</v>
      </c>
      <c r="F20" s="392">
        <f t="shared" si="0"/>
        <v>11</v>
      </c>
      <c r="G20" s="279" t="s">
        <v>1706</v>
      </c>
    </row>
    <row r="21" spans="1:7" ht="12.9" customHeight="1">
      <c r="A21" s="1041"/>
      <c r="B21" s="1045" t="s">
        <v>2215</v>
      </c>
      <c r="C21" s="277" t="s">
        <v>1711</v>
      </c>
      <c r="D21" s="277" t="s">
        <v>1712</v>
      </c>
      <c r="E21" s="278">
        <v>136000</v>
      </c>
      <c r="F21" s="392">
        <f t="shared" si="0"/>
        <v>136</v>
      </c>
      <c r="G21" s="279" t="s">
        <v>1706</v>
      </c>
    </row>
    <row r="22" spans="1:7" ht="12.9" customHeight="1">
      <c r="A22" s="1041"/>
      <c r="B22" s="1045"/>
      <c r="C22" s="277" t="s">
        <v>1713</v>
      </c>
      <c r="D22" s="277" t="s">
        <v>1714</v>
      </c>
      <c r="E22" s="278">
        <v>52000</v>
      </c>
      <c r="F22" s="392">
        <f t="shared" si="0"/>
        <v>52</v>
      </c>
      <c r="G22" s="279" t="s">
        <v>1706</v>
      </c>
    </row>
    <row r="23" spans="1:7" ht="12.9" customHeight="1">
      <c r="A23" s="1041"/>
      <c r="B23" s="277" t="s">
        <v>2216</v>
      </c>
      <c r="C23" s="277" t="s">
        <v>1713</v>
      </c>
      <c r="D23" s="277" t="s">
        <v>1714</v>
      </c>
      <c r="E23" s="278">
        <v>2000</v>
      </c>
      <c r="F23" s="392">
        <f t="shared" si="0"/>
        <v>2</v>
      </c>
      <c r="G23" s="279" t="s">
        <v>1706</v>
      </c>
    </row>
    <row r="24" spans="1:7" ht="12.9" customHeight="1">
      <c r="A24" s="1041"/>
      <c r="B24" s="1045" t="s">
        <v>2220</v>
      </c>
      <c r="C24" s="277" t="s">
        <v>1711</v>
      </c>
      <c r="D24" s="277" t="s">
        <v>1712</v>
      </c>
      <c r="E24" s="278">
        <v>125000</v>
      </c>
      <c r="F24" s="392">
        <f t="shared" si="0"/>
        <v>125</v>
      </c>
      <c r="G24" s="279" t="s">
        <v>1706</v>
      </c>
    </row>
    <row r="25" spans="1:7" ht="12.9" customHeight="1">
      <c r="A25" s="1041"/>
      <c r="B25" s="1045"/>
      <c r="C25" s="277" t="s">
        <v>1713</v>
      </c>
      <c r="D25" s="277" t="s">
        <v>1714</v>
      </c>
      <c r="E25" s="278">
        <v>13000</v>
      </c>
      <c r="F25" s="392">
        <f t="shared" si="0"/>
        <v>13</v>
      </c>
      <c r="G25" s="279" t="s">
        <v>1706</v>
      </c>
    </row>
    <row r="26" spans="1:7" ht="12.9" customHeight="1">
      <c r="A26" s="1041"/>
      <c r="B26" s="1045" t="s">
        <v>2221</v>
      </c>
      <c r="C26" s="277" t="s">
        <v>1711</v>
      </c>
      <c r="D26" s="277" t="s">
        <v>1712</v>
      </c>
      <c r="E26" s="278">
        <v>128000</v>
      </c>
      <c r="F26" s="392">
        <f t="shared" si="0"/>
        <v>128</v>
      </c>
      <c r="G26" s="279" t="s">
        <v>1706</v>
      </c>
    </row>
    <row r="27" spans="1:7" ht="12.9" customHeight="1">
      <c r="A27" s="1041"/>
      <c r="B27" s="1045"/>
      <c r="C27" s="277" t="s">
        <v>1713</v>
      </c>
      <c r="D27" s="277" t="s">
        <v>1714</v>
      </c>
      <c r="E27" s="278">
        <v>17000</v>
      </c>
      <c r="F27" s="392">
        <f t="shared" si="0"/>
        <v>17</v>
      </c>
      <c r="G27" s="279" t="s">
        <v>1706</v>
      </c>
    </row>
    <row r="28" spans="1:7" ht="12.9" customHeight="1">
      <c r="A28" s="1041"/>
      <c r="B28" s="1045" t="s">
        <v>2223</v>
      </c>
      <c r="C28" s="277" t="s">
        <v>1711</v>
      </c>
      <c r="D28" s="277" t="s">
        <v>1712</v>
      </c>
      <c r="E28" s="278">
        <v>68000</v>
      </c>
      <c r="F28" s="392">
        <f t="shared" si="0"/>
        <v>68</v>
      </c>
      <c r="G28" s="279" t="s">
        <v>1706</v>
      </c>
    </row>
    <row r="29" spans="1:7" ht="12.9" customHeight="1">
      <c r="A29" s="1041"/>
      <c r="B29" s="1045"/>
      <c r="C29" s="277" t="s">
        <v>1713</v>
      </c>
      <c r="D29" s="277" t="s">
        <v>1714</v>
      </c>
      <c r="E29" s="278">
        <v>12000</v>
      </c>
      <c r="F29" s="392">
        <f t="shared" si="0"/>
        <v>12</v>
      </c>
      <c r="G29" s="279" t="s">
        <v>1706</v>
      </c>
    </row>
    <row r="30" spans="1:7" ht="12.9" customHeight="1">
      <c r="A30" s="1041"/>
      <c r="B30" s="1045" t="s">
        <v>2226</v>
      </c>
      <c r="C30" s="277" t="s">
        <v>1711</v>
      </c>
      <c r="D30" s="277" t="s">
        <v>1712</v>
      </c>
      <c r="E30" s="278">
        <v>117000</v>
      </c>
      <c r="F30" s="392">
        <f t="shared" si="0"/>
        <v>117</v>
      </c>
      <c r="G30" s="279" t="s">
        <v>1706</v>
      </c>
    </row>
    <row r="31" spans="1:7" ht="12.9" customHeight="1">
      <c r="A31" s="1041"/>
      <c r="B31" s="1045"/>
      <c r="C31" s="277" t="s">
        <v>1713</v>
      </c>
      <c r="D31" s="277" t="s">
        <v>1714</v>
      </c>
      <c r="E31" s="278">
        <v>4000</v>
      </c>
      <c r="F31" s="392">
        <f t="shared" si="0"/>
        <v>4</v>
      </c>
      <c r="G31" s="279" t="s">
        <v>1706</v>
      </c>
    </row>
    <row r="32" spans="1:7" ht="12.9" customHeight="1">
      <c r="A32" s="1041"/>
      <c r="B32" s="277" t="s">
        <v>2227</v>
      </c>
      <c r="C32" s="277" t="s">
        <v>1713</v>
      </c>
      <c r="D32" s="277" t="s">
        <v>1714</v>
      </c>
      <c r="E32" s="278">
        <v>12000</v>
      </c>
      <c r="F32" s="392">
        <f t="shared" si="0"/>
        <v>12</v>
      </c>
      <c r="G32" s="279" t="s">
        <v>1706</v>
      </c>
    </row>
    <row r="33" spans="1:7" ht="12.9" customHeight="1">
      <c r="A33" s="1041"/>
      <c r="B33" s="1045" t="s">
        <v>2231</v>
      </c>
      <c r="C33" s="277" t="s">
        <v>1711</v>
      </c>
      <c r="D33" s="277" t="s">
        <v>1712</v>
      </c>
      <c r="E33" s="278">
        <v>174000</v>
      </c>
      <c r="F33" s="392">
        <f t="shared" si="0"/>
        <v>174</v>
      </c>
      <c r="G33" s="279" t="s">
        <v>1706</v>
      </c>
    </row>
    <row r="34" spans="1:7" ht="12.9" customHeight="1">
      <c r="A34" s="1041"/>
      <c r="B34" s="1045"/>
      <c r="C34" s="277" t="s">
        <v>1713</v>
      </c>
      <c r="D34" s="277" t="s">
        <v>1714</v>
      </c>
      <c r="E34" s="278">
        <v>21000</v>
      </c>
      <c r="F34" s="392">
        <f t="shared" si="0"/>
        <v>21</v>
      </c>
      <c r="G34" s="279" t="s">
        <v>1706</v>
      </c>
    </row>
    <row r="35" spans="1:7" ht="26.1" customHeight="1">
      <c r="A35" s="1041"/>
      <c r="B35" s="1045"/>
      <c r="C35" s="277" t="s">
        <v>1717</v>
      </c>
      <c r="D35" s="277" t="s">
        <v>1718</v>
      </c>
      <c r="E35" s="278">
        <v>215248</v>
      </c>
      <c r="F35" s="392">
        <f t="shared" si="0"/>
        <v>215.24799999999999</v>
      </c>
      <c r="G35" s="279" t="s">
        <v>1706</v>
      </c>
    </row>
    <row r="36" spans="1:7" ht="12.9" customHeight="1">
      <c r="A36" s="1041"/>
      <c r="B36" s="277" t="s">
        <v>2233</v>
      </c>
      <c r="C36" s="277" t="s">
        <v>1713</v>
      </c>
      <c r="D36" s="277" t="s">
        <v>1714</v>
      </c>
      <c r="E36" s="278">
        <v>12000</v>
      </c>
      <c r="F36" s="392">
        <f t="shared" si="0"/>
        <v>12</v>
      </c>
      <c r="G36" s="279" t="s">
        <v>1706</v>
      </c>
    </row>
    <row r="37" spans="1:7" ht="12.9" customHeight="1">
      <c r="A37" s="1041"/>
      <c r="B37" s="277" t="s">
        <v>2234</v>
      </c>
      <c r="C37" s="277" t="s">
        <v>1713</v>
      </c>
      <c r="D37" s="277" t="s">
        <v>1714</v>
      </c>
      <c r="E37" s="278">
        <v>7000</v>
      </c>
      <c r="F37" s="392">
        <f t="shared" si="0"/>
        <v>7</v>
      </c>
      <c r="G37" s="279" t="s">
        <v>1706</v>
      </c>
    </row>
    <row r="38" spans="1:7" ht="12.9" customHeight="1">
      <c r="A38" s="1041"/>
      <c r="B38" s="277" t="s">
        <v>2238</v>
      </c>
      <c r="C38" s="277" t="s">
        <v>1713</v>
      </c>
      <c r="D38" s="277" t="s">
        <v>1714</v>
      </c>
      <c r="E38" s="278">
        <v>8000</v>
      </c>
      <c r="F38" s="392">
        <f t="shared" si="0"/>
        <v>8</v>
      </c>
      <c r="G38" s="279" t="s">
        <v>1706</v>
      </c>
    </row>
    <row r="39" spans="1:7" ht="12.9" customHeight="1">
      <c r="A39" s="1041" t="s">
        <v>2241</v>
      </c>
      <c r="B39" s="1045" t="s">
        <v>2242</v>
      </c>
      <c r="C39" s="277" t="s">
        <v>1711</v>
      </c>
      <c r="D39" s="277" t="s">
        <v>1712</v>
      </c>
      <c r="E39" s="278">
        <v>95000</v>
      </c>
      <c r="F39" s="392">
        <f t="shared" si="0"/>
        <v>95</v>
      </c>
      <c r="G39" s="279" t="s">
        <v>1706</v>
      </c>
    </row>
    <row r="40" spans="1:7" ht="12.9" customHeight="1">
      <c r="A40" s="1041"/>
      <c r="B40" s="1045"/>
      <c r="C40" s="277" t="s">
        <v>1713</v>
      </c>
      <c r="D40" s="277" t="s">
        <v>1714</v>
      </c>
      <c r="E40" s="278">
        <v>25000</v>
      </c>
      <c r="F40" s="392">
        <f t="shared" si="0"/>
        <v>25</v>
      </c>
      <c r="G40" s="279" t="s">
        <v>1706</v>
      </c>
    </row>
    <row r="41" spans="1:7" ht="12.9" customHeight="1">
      <c r="A41" s="1041"/>
      <c r="B41" s="1045" t="s">
        <v>2243</v>
      </c>
      <c r="C41" s="277" t="s">
        <v>1711</v>
      </c>
      <c r="D41" s="277" t="s">
        <v>1712</v>
      </c>
      <c r="E41" s="278">
        <v>170000</v>
      </c>
      <c r="F41" s="392">
        <f t="shared" si="0"/>
        <v>170</v>
      </c>
      <c r="G41" s="279" t="s">
        <v>1706</v>
      </c>
    </row>
    <row r="42" spans="1:7" ht="12.9" customHeight="1">
      <c r="A42" s="1041"/>
      <c r="B42" s="1045"/>
      <c r="C42" s="277" t="s">
        <v>1713</v>
      </c>
      <c r="D42" s="277" t="s">
        <v>1714</v>
      </c>
      <c r="E42" s="278">
        <v>31000</v>
      </c>
      <c r="F42" s="392">
        <f t="shared" si="0"/>
        <v>31</v>
      </c>
      <c r="G42" s="279" t="s">
        <v>1706</v>
      </c>
    </row>
    <row r="43" spans="1:7" ht="12.9" customHeight="1">
      <c r="A43" s="1041"/>
      <c r="B43" s="277" t="s">
        <v>2244</v>
      </c>
      <c r="C43" s="277" t="s">
        <v>1711</v>
      </c>
      <c r="D43" s="277" t="s">
        <v>1712</v>
      </c>
      <c r="E43" s="278">
        <v>224000</v>
      </c>
      <c r="F43" s="392">
        <f t="shared" si="0"/>
        <v>224</v>
      </c>
      <c r="G43" s="279" t="s">
        <v>1706</v>
      </c>
    </row>
    <row r="44" spans="1:7" ht="12.9" customHeight="1">
      <c r="A44" s="1041"/>
      <c r="B44" s="277" t="s">
        <v>2245</v>
      </c>
      <c r="C44" s="277" t="s">
        <v>1711</v>
      </c>
      <c r="D44" s="277" t="s">
        <v>1712</v>
      </c>
      <c r="E44" s="278">
        <v>211000</v>
      </c>
      <c r="F44" s="392">
        <f t="shared" si="0"/>
        <v>211</v>
      </c>
      <c r="G44" s="279" t="s">
        <v>1706</v>
      </c>
    </row>
    <row r="45" spans="1:7" ht="12.9" customHeight="1">
      <c r="A45" s="1041"/>
      <c r="B45" s="277" t="s">
        <v>2247</v>
      </c>
      <c r="C45" s="277" t="s">
        <v>1713</v>
      </c>
      <c r="D45" s="277" t="s">
        <v>1714</v>
      </c>
      <c r="E45" s="278">
        <v>9000</v>
      </c>
      <c r="F45" s="392">
        <f t="shared" si="0"/>
        <v>9</v>
      </c>
      <c r="G45" s="279" t="s">
        <v>1706</v>
      </c>
    </row>
    <row r="46" spans="1:7" ht="12.9" customHeight="1">
      <c r="A46" s="1041"/>
      <c r="B46" s="1045" t="s">
        <v>2248</v>
      </c>
      <c r="C46" s="277" t="s">
        <v>1711</v>
      </c>
      <c r="D46" s="277" t="s">
        <v>1712</v>
      </c>
      <c r="E46" s="278">
        <v>184000</v>
      </c>
      <c r="F46" s="392">
        <f t="shared" si="0"/>
        <v>184</v>
      </c>
      <c r="G46" s="279" t="s">
        <v>1706</v>
      </c>
    </row>
    <row r="47" spans="1:7" ht="12.9" customHeight="1">
      <c r="A47" s="1041"/>
      <c r="B47" s="1045"/>
      <c r="C47" s="277" t="s">
        <v>1713</v>
      </c>
      <c r="D47" s="277" t="s">
        <v>1714</v>
      </c>
      <c r="E47" s="278">
        <v>16000</v>
      </c>
      <c r="F47" s="392">
        <f t="shared" si="0"/>
        <v>16</v>
      </c>
      <c r="G47" s="279" t="s">
        <v>1706</v>
      </c>
    </row>
    <row r="48" spans="1:7" ht="12.9" customHeight="1">
      <c r="A48" s="1041"/>
      <c r="B48" s="1045" t="s">
        <v>2249</v>
      </c>
      <c r="C48" s="277" t="s">
        <v>1711</v>
      </c>
      <c r="D48" s="277" t="s">
        <v>1712</v>
      </c>
      <c r="E48" s="278">
        <v>37000</v>
      </c>
      <c r="F48" s="392">
        <f t="shared" si="0"/>
        <v>37</v>
      </c>
      <c r="G48" s="279" t="s">
        <v>1706</v>
      </c>
    </row>
    <row r="49" spans="1:7" ht="12.9" customHeight="1">
      <c r="A49" s="1041"/>
      <c r="B49" s="1045"/>
      <c r="C49" s="277" t="s">
        <v>1713</v>
      </c>
      <c r="D49" s="277" t="s">
        <v>1714</v>
      </c>
      <c r="E49" s="278">
        <v>11000</v>
      </c>
      <c r="F49" s="392">
        <f t="shared" si="0"/>
        <v>11</v>
      </c>
      <c r="G49" s="279" t="s">
        <v>1706</v>
      </c>
    </row>
    <row r="50" spans="1:7" ht="12.9" customHeight="1">
      <c r="A50" s="1041"/>
      <c r="B50" s="277" t="s">
        <v>2250</v>
      </c>
      <c r="C50" s="277" t="s">
        <v>1711</v>
      </c>
      <c r="D50" s="277" t="s">
        <v>1712</v>
      </c>
      <c r="E50" s="278">
        <v>27000</v>
      </c>
      <c r="F50" s="392">
        <f t="shared" si="0"/>
        <v>27</v>
      </c>
      <c r="G50" s="279" t="s">
        <v>1706</v>
      </c>
    </row>
    <row r="51" spans="1:7" ht="12.9" customHeight="1">
      <c r="A51" s="1041" t="s">
        <v>2252</v>
      </c>
      <c r="B51" s="277" t="s">
        <v>2253</v>
      </c>
      <c r="C51" s="277" t="s">
        <v>1713</v>
      </c>
      <c r="D51" s="277" t="s">
        <v>1714</v>
      </c>
      <c r="E51" s="278">
        <v>17000</v>
      </c>
      <c r="F51" s="392">
        <f t="shared" si="0"/>
        <v>17</v>
      </c>
      <c r="G51" s="279" t="s">
        <v>1706</v>
      </c>
    </row>
    <row r="52" spans="1:7" ht="12.9" customHeight="1">
      <c r="A52" s="1041"/>
      <c r="B52" s="277" t="s">
        <v>2254</v>
      </c>
      <c r="C52" s="277" t="s">
        <v>1713</v>
      </c>
      <c r="D52" s="277" t="s">
        <v>1714</v>
      </c>
      <c r="E52" s="278">
        <v>2000</v>
      </c>
      <c r="F52" s="392">
        <f t="shared" si="0"/>
        <v>2</v>
      </c>
      <c r="G52" s="279" t="s">
        <v>1706</v>
      </c>
    </row>
    <row r="53" spans="1:7" ht="12.9" customHeight="1">
      <c r="A53" s="1041"/>
      <c r="B53" s="1045" t="s">
        <v>2255</v>
      </c>
      <c r="C53" s="277" t="s">
        <v>1711</v>
      </c>
      <c r="D53" s="277" t="s">
        <v>1712</v>
      </c>
      <c r="E53" s="278">
        <v>118000</v>
      </c>
      <c r="F53" s="392">
        <f t="shared" si="0"/>
        <v>118</v>
      </c>
      <c r="G53" s="279" t="s">
        <v>1706</v>
      </c>
    </row>
    <row r="54" spans="1:7" ht="12.9" customHeight="1">
      <c r="A54" s="1041"/>
      <c r="B54" s="1045"/>
      <c r="C54" s="277" t="s">
        <v>1713</v>
      </c>
      <c r="D54" s="277" t="s">
        <v>1714</v>
      </c>
      <c r="E54" s="278">
        <v>55000</v>
      </c>
      <c r="F54" s="392">
        <f t="shared" si="0"/>
        <v>55</v>
      </c>
      <c r="G54" s="279" t="s">
        <v>1706</v>
      </c>
    </row>
    <row r="55" spans="1:7" ht="12.9" customHeight="1">
      <c r="A55" s="1041"/>
      <c r="B55" s="1045" t="s">
        <v>2258</v>
      </c>
      <c r="C55" s="277" t="s">
        <v>1711</v>
      </c>
      <c r="D55" s="277" t="s">
        <v>1712</v>
      </c>
      <c r="E55" s="278">
        <v>27000</v>
      </c>
      <c r="F55" s="392">
        <f t="shared" si="0"/>
        <v>27</v>
      </c>
      <c r="G55" s="279" t="s">
        <v>1706</v>
      </c>
    </row>
    <row r="56" spans="1:7" ht="12.9" customHeight="1">
      <c r="A56" s="1041"/>
      <c r="B56" s="1045"/>
      <c r="C56" s="277" t="s">
        <v>1713</v>
      </c>
      <c r="D56" s="277" t="s">
        <v>1714</v>
      </c>
      <c r="E56" s="278">
        <v>9000</v>
      </c>
      <c r="F56" s="392">
        <f t="shared" si="0"/>
        <v>9</v>
      </c>
      <c r="G56" s="279" t="s">
        <v>1706</v>
      </c>
    </row>
    <row r="57" spans="1:7" ht="12.9" customHeight="1">
      <c r="A57" s="1041"/>
      <c r="B57" s="277" t="s">
        <v>2261</v>
      </c>
      <c r="C57" s="277" t="s">
        <v>1713</v>
      </c>
      <c r="D57" s="277" t="s">
        <v>1714</v>
      </c>
      <c r="E57" s="278">
        <v>5000</v>
      </c>
      <c r="F57" s="392">
        <f t="shared" si="0"/>
        <v>5</v>
      </c>
      <c r="G57" s="279" t="s">
        <v>1706</v>
      </c>
    </row>
    <row r="58" spans="1:7" ht="12.9" customHeight="1">
      <c r="A58" s="1041"/>
      <c r="B58" s="277" t="s">
        <v>2264</v>
      </c>
      <c r="C58" s="277" t="s">
        <v>1713</v>
      </c>
      <c r="D58" s="277" t="s">
        <v>1714</v>
      </c>
      <c r="E58" s="278">
        <v>35000</v>
      </c>
      <c r="F58" s="392">
        <f t="shared" si="0"/>
        <v>35</v>
      </c>
      <c r="G58" s="279" t="s">
        <v>1706</v>
      </c>
    </row>
    <row r="59" spans="1:7" ht="12.9" customHeight="1">
      <c r="A59" s="1043" t="s">
        <v>2267</v>
      </c>
      <c r="B59" s="1045" t="s">
        <v>2268</v>
      </c>
      <c r="C59" s="277" t="s">
        <v>1711</v>
      </c>
      <c r="D59" s="277" t="s">
        <v>1712</v>
      </c>
      <c r="E59" s="278">
        <v>33000</v>
      </c>
      <c r="F59" s="393">
        <f t="shared" si="0"/>
        <v>33</v>
      </c>
      <c r="G59" s="279" t="s">
        <v>1706</v>
      </c>
    </row>
    <row r="60" spans="1:7" ht="12.9" customHeight="1">
      <c r="A60" s="1047"/>
      <c r="B60" s="1045"/>
      <c r="C60" s="277" t="s">
        <v>1713</v>
      </c>
      <c r="D60" s="277" t="s">
        <v>1714</v>
      </c>
      <c r="E60" s="278">
        <v>6000</v>
      </c>
      <c r="F60" s="392">
        <f t="shared" si="0"/>
        <v>6</v>
      </c>
      <c r="G60" s="279" t="s">
        <v>1706</v>
      </c>
    </row>
    <row r="61" spans="1:7" ht="12.9" customHeight="1">
      <c r="A61" s="1047"/>
      <c r="B61" s="1045" t="s">
        <v>2269</v>
      </c>
      <c r="C61" s="277" t="s">
        <v>1713</v>
      </c>
      <c r="D61" s="277" t="s">
        <v>1714</v>
      </c>
      <c r="E61" s="278">
        <v>6000</v>
      </c>
      <c r="F61" s="392">
        <f t="shared" si="0"/>
        <v>6</v>
      </c>
      <c r="G61" s="279" t="s">
        <v>1706</v>
      </c>
    </row>
    <row r="62" spans="1:7" ht="26.1" customHeight="1">
      <c r="A62" s="1047"/>
      <c r="B62" s="1045"/>
      <c r="C62" s="277" t="s">
        <v>1715</v>
      </c>
      <c r="D62" s="277" t="s">
        <v>1716</v>
      </c>
      <c r="E62" s="278">
        <v>11000</v>
      </c>
      <c r="F62" s="392">
        <f t="shared" si="0"/>
        <v>11</v>
      </c>
      <c r="G62" s="279" t="s">
        <v>1706</v>
      </c>
    </row>
    <row r="63" spans="1:7" ht="12.9" customHeight="1">
      <c r="A63" s="1047"/>
      <c r="B63" s="277" t="s">
        <v>2270</v>
      </c>
      <c r="C63" s="277" t="s">
        <v>1713</v>
      </c>
      <c r="D63" s="277" t="s">
        <v>1714</v>
      </c>
      <c r="E63" s="278">
        <v>8000</v>
      </c>
      <c r="F63" s="392">
        <f t="shared" si="0"/>
        <v>8</v>
      </c>
      <c r="G63" s="279" t="s">
        <v>1706</v>
      </c>
    </row>
    <row r="64" spans="1:7" ht="12.9" customHeight="1">
      <c r="A64" s="1039"/>
      <c r="B64" s="277" t="s">
        <v>2271</v>
      </c>
      <c r="C64" s="277" t="s">
        <v>1711</v>
      </c>
      <c r="D64" s="277" t="s">
        <v>1712</v>
      </c>
      <c r="E64" s="278">
        <v>156000</v>
      </c>
      <c r="F64" s="392">
        <f t="shared" si="0"/>
        <v>156</v>
      </c>
      <c r="G64" s="279" t="s">
        <v>1706</v>
      </c>
    </row>
    <row r="65" spans="1:7" ht="12.9" customHeight="1">
      <c r="A65" s="1043" t="s">
        <v>2267</v>
      </c>
      <c r="B65" s="277" t="s">
        <v>2271</v>
      </c>
      <c r="C65" s="277" t="s">
        <v>1713</v>
      </c>
      <c r="D65" s="277" t="s">
        <v>1714</v>
      </c>
      <c r="E65" s="278">
        <v>3000</v>
      </c>
      <c r="F65" s="393">
        <f t="shared" si="0"/>
        <v>3</v>
      </c>
      <c r="G65" s="279" t="s">
        <v>1706</v>
      </c>
    </row>
    <row r="66" spans="1:7" ht="12.9" customHeight="1">
      <c r="A66" s="1047"/>
      <c r="B66" s="277" t="s">
        <v>2272</v>
      </c>
      <c r="C66" s="277" t="s">
        <v>1713</v>
      </c>
      <c r="D66" s="277" t="s">
        <v>1714</v>
      </c>
      <c r="E66" s="278">
        <v>4000</v>
      </c>
      <c r="F66" s="392">
        <f t="shared" si="0"/>
        <v>4</v>
      </c>
      <c r="G66" s="279" t="s">
        <v>1706</v>
      </c>
    </row>
    <row r="67" spans="1:7" ht="12.9" customHeight="1">
      <c r="A67" s="1047"/>
      <c r="B67" s="1045" t="s">
        <v>2274</v>
      </c>
      <c r="C67" s="277" t="s">
        <v>1711</v>
      </c>
      <c r="D67" s="277" t="s">
        <v>1712</v>
      </c>
      <c r="E67" s="278">
        <v>107000</v>
      </c>
      <c r="F67" s="392">
        <f t="shared" si="0"/>
        <v>107</v>
      </c>
      <c r="G67" s="279" t="s">
        <v>1706</v>
      </c>
    </row>
    <row r="68" spans="1:7" ht="12.9" customHeight="1">
      <c r="A68" s="1047"/>
      <c r="B68" s="1045"/>
      <c r="C68" s="277" t="s">
        <v>1713</v>
      </c>
      <c r="D68" s="277" t="s">
        <v>1714</v>
      </c>
      <c r="E68" s="278">
        <v>6000</v>
      </c>
      <c r="F68" s="392">
        <f t="shared" si="0"/>
        <v>6</v>
      </c>
      <c r="G68" s="279" t="s">
        <v>1706</v>
      </c>
    </row>
    <row r="69" spans="1:7" ht="12.9" customHeight="1">
      <c r="A69" s="1047"/>
      <c r="B69" s="277" t="s">
        <v>2276</v>
      </c>
      <c r="C69" s="277" t="s">
        <v>1713</v>
      </c>
      <c r="D69" s="277" t="s">
        <v>1714</v>
      </c>
      <c r="E69" s="278">
        <v>6000</v>
      </c>
      <c r="F69" s="392">
        <f t="shared" si="0"/>
        <v>6</v>
      </c>
      <c r="G69" s="279" t="s">
        <v>1706</v>
      </c>
    </row>
    <row r="70" spans="1:7" ht="12.9" customHeight="1">
      <c r="A70" s="1047"/>
      <c r="B70" s="1045" t="s">
        <v>2277</v>
      </c>
      <c r="C70" s="277" t="s">
        <v>1711</v>
      </c>
      <c r="D70" s="277" t="s">
        <v>1712</v>
      </c>
      <c r="E70" s="278">
        <v>154000</v>
      </c>
      <c r="F70" s="392">
        <f t="shared" ref="F70:F133" si="1">E70/1000</f>
        <v>154</v>
      </c>
      <c r="G70" s="279" t="s">
        <v>1706</v>
      </c>
    </row>
    <row r="71" spans="1:7" ht="12.9" customHeight="1">
      <c r="A71" s="1047"/>
      <c r="B71" s="1045"/>
      <c r="C71" s="277" t="s">
        <v>1713</v>
      </c>
      <c r="D71" s="277" t="s">
        <v>1714</v>
      </c>
      <c r="E71" s="278">
        <v>19000</v>
      </c>
      <c r="F71" s="392">
        <f t="shared" si="1"/>
        <v>19</v>
      </c>
      <c r="G71" s="279" t="s">
        <v>1706</v>
      </c>
    </row>
    <row r="72" spans="1:7" ht="12.9" customHeight="1">
      <c r="A72" s="1047"/>
      <c r="B72" s="277" t="s">
        <v>2278</v>
      </c>
      <c r="C72" s="277" t="s">
        <v>1711</v>
      </c>
      <c r="D72" s="277" t="s">
        <v>1712</v>
      </c>
      <c r="E72" s="278">
        <v>38000</v>
      </c>
      <c r="F72" s="392">
        <f t="shared" si="1"/>
        <v>38</v>
      </c>
      <c r="G72" s="279" t="s">
        <v>1706</v>
      </c>
    </row>
    <row r="73" spans="1:7" ht="12.9" customHeight="1">
      <c r="A73" s="1047"/>
      <c r="B73" s="1045" t="s">
        <v>2279</v>
      </c>
      <c r="C73" s="277" t="s">
        <v>1711</v>
      </c>
      <c r="D73" s="277" t="s">
        <v>1712</v>
      </c>
      <c r="E73" s="278">
        <v>178000</v>
      </c>
      <c r="F73" s="392">
        <f t="shared" si="1"/>
        <v>178</v>
      </c>
      <c r="G73" s="279" t="s">
        <v>1706</v>
      </c>
    </row>
    <row r="74" spans="1:7" ht="12.9" customHeight="1">
      <c r="A74" s="1047"/>
      <c r="B74" s="1045"/>
      <c r="C74" s="277" t="s">
        <v>1713</v>
      </c>
      <c r="D74" s="277" t="s">
        <v>1714</v>
      </c>
      <c r="E74" s="278">
        <v>58000</v>
      </c>
      <c r="F74" s="392">
        <f t="shared" si="1"/>
        <v>58</v>
      </c>
      <c r="G74" s="279" t="s">
        <v>1706</v>
      </c>
    </row>
    <row r="75" spans="1:7" ht="12.9" customHeight="1">
      <c r="A75" s="1047"/>
      <c r="B75" s="1045" t="s">
        <v>2280</v>
      </c>
      <c r="C75" s="277" t="s">
        <v>1711</v>
      </c>
      <c r="D75" s="277" t="s">
        <v>1712</v>
      </c>
      <c r="E75" s="278">
        <v>388000</v>
      </c>
      <c r="F75" s="392">
        <f t="shared" si="1"/>
        <v>388</v>
      </c>
      <c r="G75" s="279" t="s">
        <v>1706</v>
      </c>
    </row>
    <row r="76" spans="1:7" ht="12.9" customHeight="1">
      <c r="A76" s="1047"/>
      <c r="B76" s="1045"/>
      <c r="C76" s="277" t="s">
        <v>1713</v>
      </c>
      <c r="D76" s="277" t="s">
        <v>1714</v>
      </c>
      <c r="E76" s="278">
        <v>36000</v>
      </c>
      <c r="F76" s="392">
        <f t="shared" si="1"/>
        <v>36</v>
      </c>
      <c r="G76" s="279" t="s">
        <v>1706</v>
      </c>
    </row>
    <row r="77" spans="1:7" ht="12.9" customHeight="1">
      <c r="A77" s="1047"/>
      <c r="B77" s="1045" t="s">
        <v>2281</v>
      </c>
      <c r="C77" s="277" t="s">
        <v>1711</v>
      </c>
      <c r="D77" s="277" t="s">
        <v>1712</v>
      </c>
      <c r="E77" s="278">
        <v>456000</v>
      </c>
      <c r="F77" s="392">
        <f t="shared" si="1"/>
        <v>456</v>
      </c>
      <c r="G77" s="279" t="s">
        <v>1706</v>
      </c>
    </row>
    <row r="78" spans="1:7" ht="12.9" customHeight="1">
      <c r="A78" s="1047"/>
      <c r="B78" s="1045"/>
      <c r="C78" s="277" t="s">
        <v>1713</v>
      </c>
      <c r="D78" s="277" t="s">
        <v>1714</v>
      </c>
      <c r="E78" s="278">
        <v>50000</v>
      </c>
      <c r="F78" s="392">
        <f t="shared" si="1"/>
        <v>50</v>
      </c>
      <c r="G78" s="279" t="s">
        <v>1706</v>
      </c>
    </row>
    <row r="79" spans="1:7" ht="12.9" customHeight="1">
      <c r="A79" s="1047"/>
      <c r="B79" s="1045" t="s">
        <v>2282</v>
      </c>
      <c r="C79" s="277" t="s">
        <v>1711</v>
      </c>
      <c r="D79" s="277" t="s">
        <v>1712</v>
      </c>
      <c r="E79" s="278">
        <v>170000</v>
      </c>
      <c r="F79" s="392">
        <f t="shared" si="1"/>
        <v>170</v>
      </c>
      <c r="G79" s="279" t="s">
        <v>1706</v>
      </c>
    </row>
    <row r="80" spans="1:7" ht="12.9" customHeight="1">
      <c r="A80" s="1047"/>
      <c r="B80" s="1045"/>
      <c r="C80" s="277" t="s">
        <v>1713</v>
      </c>
      <c r="D80" s="277" t="s">
        <v>1714</v>
      </c>
      <c r="E80" s="278">
        <v>46000</v>
      </c>
      <c r="F80" s="392">
        <f t="shared" si="1"/>
        <v>46</v>
      </c>
      <c r="G80" s="279" t="s">
        <v>1706</v>
      </c>
    </row>
    <row r="81" spans="1:7" ht="12.9" customHeight="1">
      <c r="A81" s="1047"/>
      <c r="B81" s="277" t="s">
        <v>2283</v>
      </c>
      <c r="C81" s="277" t="s">
        <v>1711</v>
      </c>
      <c r="D81" s="277" t="s">
        <v>1712</v>
      </c>
      <c r="E81" s="278">
        <v>416000</v>
      </c>
      <c r="F81" s="392">
        <f t="shared" si="1"/>
        <v>416</v>
      </c>
      <c r="G81" s="279" t="s">
        <v>1706</v>
      </c>
    </row>
    <row r="82" spans="1:7" ht="12.9" customHeight="1">
      <c r="A82" s="1047"/>
      <c r="B82" s="1045" t="s">
        <v>2284</v>
      </c>
      <c r="C82" s="277" t="s">
        <v>1711</v>
      </c>
      <c r="D82" s="277" t="s">
        <v>1712</v>
      </c>
      <c r="E82" s="278">
        <v>122000</v>
      </c>
      <c r="F82" s="392">
        <f t="shared" si="1"/>
        <v>122</v>
      </c>
      <c r="G82" s="279" t="s">
        <v>1706</v>
      </c>
    </row>
    <row r="83" spans="1:7" ht="12.9" customHeight="1">
      <c r="A83" s="1047"/>
      <c r="B83" s="1045"/>
      <c r="C83" s="277" t="s">
        <v>1713</v>
      </c>
      <c r="D83" s="277" t="s">
        <v>1714</v>
      </c>
      <c r="E83" s="278">
        <v>16000</v>
      </c>
      <c r="F83" s="392">
        <f t="shared" si="1"/>
        <v>16</v>
      </c>
      <c r="G83" s="279" t="s">
        <v>1706</v>
      </c>
    </row>
    <row r="84" spans="1:7" ht="12.9" customHeight="1">
      <c r="A84" s="1047"/>
      <c r="B84" s="1045" t="s">
        <v>2285</v>
      </c>
      <c r="C84" s="277" t="s">
        <v>1711</v>
      </c>
      <c r="D84" s="277" t="s">
        <v>1712</v>
      </c>
      <c r="E84" s="278">
        <v>148000</v>
      </c>
      <c r="F84" s="392">
        <f t="shared" si="1"/>
        <v>148</v>
      </c>
      <c r="G84" s="279" t="s">
        <v>1706</v>
      </c>
    </row>
    <row r="85" spans="1:7" ht="12.9" customHeight="1">
      <c r="A85" s="1047"/>
      <c r="B85" s="1045"/>
      <c r="C85" s="277" t="s">
        <v>1713</v>
      </c>
      <c r="D85" s="277" t="s">
        <v>1714</v>
      </c>
      <c r="E85" s="278">
        <v>8000</v>
      </c>
      <c r="F85" s="392">
        <f t="shared" si="1"/>
        <v>8</v>
      </c>
      <c r="G85" s="279" t="s">
        <v>1706</v>
      </c>
    </row>
    <row r="86" spans="1:7" ht="12.9" customHeight="1">
      <c r="A86" s="1047"/>
      <c r="B86" s="1045" t="s">
        <v>2286</v>
      </c>
      <c r="C86" s="277" t="s">
        <v>1711</v>
      </c>
      <c r="D86" s="277" t="s">
        <v>1712</v>
      </c>
      <c r="E86" s="278">
        <v>120000</v>
      </c>
      <c r="F86" s="392">
        <f t="shared" si="1"/>
        <v>120</v>
      </c>
      <c r="G86" s="279" t="s">
        <v>1706</v>
      </c>
    </row>
    <row r="87" spans="1:7" ht="12.9" customHeight="1">
      <c r="A87" s="1047"/>
      <c r="B87" s="1045"/>
      <c r="C87" s="277" t="s">
        <v>1713</v>
      </c>
      <c r="D87" s="277" t="s">
        <v>1714</v>
      </c>
      <c r="E87" s="278">
        <v>25000</v>
      </c>
      <c r="F87" s="392">
        <f t="shared" si="1"/>
        <v>25</v>
      </c>
      <c r="G87" s="279" t="s">
        <v>1706</v>
      </c>
    </row>
    <row r="88" spans="1:7" ht="26.1" customHeight="1">
      <c r="A88" s="1047"/>
      <c r="B88" s="1045"/>
      <c r="C88" s="277" t="s">
        <v>1715</v>
      </c>
      <c r="D88" s="277" t="s">
        <v>1716</v>
      </c>
      <c r="E88" s="278">
        <v>10000</v>
      </c>
      <c r="F88" s="392">
        <f t="shared" si="1"/>
        <v>10</v>
      </c>
      <c r="G88" s="279" t="s">
        <v>1706</v>
      </c>
    </row>
    <row r="89" spans="1:7" ht="12.9" customHeight="1">
      <c r="A89" s="1047"/>
      <c r="B89" s="1045" t="s">
        <v>2287</v>
      </c>
      <c r="C89" s="277" t="s">
        <v>1711</v>
      </c>
      <c r="D89" s="277" t="s">
        <v>1712</v>
      </c>
      <c r="E89" s="278">
        <v>388000</v>
      </c>
      <c r="F89" s="392">
        <f t="shared" si="1"/>
        <v>388</v>
      </c>
      <c r="G89" s="279" t="s">
        <v>1706</v>
      </c>
    </row>
    <row r="90" spans="1:7" ht="12.9" customHeight="1">
      <c r="A90" s="1047"/>
      <c r="B90" s="1045"/>
      <c r="C90" s="277" t="s">
        <v>1713</v>
      </c>
      <c r="D90" s="277" t="s">
        <v>1714</v>
      </c>
      <c r="E90" s="278">
        <v>27000</v>
      </c>
      <c r="F90" s="392">
        <f t="shared" si="1"/>
        <v>27</v>
      </c>
      <c r="G90" s="279" t="s">
        <v>1706</v>
      </c>
    </row>
    <row r="91" spans="1:7" ht="26.1" customHeight="1">
      <c r="A91" s="1047"/>
      <c r="B91" s="1045"/>
      <c r="C91" s="277" t="s">
        <v>1715</v>
      </c>
      <c r="D91" s="277" t="s">
        <v>1716</v>
      </c>
      <c r="E91" s="278">
        <v>10000</v>
      </c>
      <c r="F91" s="392">
        <f t="shared" si="1"/>
        <v>10</v>
      </c>
      <c r="G91" s="279" t="s">
        <v>1706</v>
      </c>
    </row>
    <row r="92" spans="1:7" ht="12.9" customHeight="1">
      <c r="A92" s="1047"/>
      <c r="B92" s="1045" t="s">
        <v>2289</v>
      </c>
      <c r="C92" s="277" t="s">
        <v>1711</v>
      </c>
      <c r="D92" s="277" t="s">
        <v>1712</v>
      </c>
      <c r="E92" s="278">
        <v>132000</v>
      </c>
      <c r="F92" s="392">
        <f t="shared" si="1"/>
        <v>132</v>
      </c>
      <c r="G92" s="279" t="s">
        <v>1706</v>
      </c>
    </row>
    <row r="93" spans="1:7" ht="12.9" customHeight="1">
      <c r="A93" s="1047"/>
      <c r="B93" s="1045"/>
      <c r="C93" s="277" t="s">
        <v>1713</v>
      </c>
      <c r="D93" s="277" t="s">
        <v>1714</v>
      </c>
      <c r="E93" s="278">
        <v>20000</v>
      </c>
      <c r="F93" s="392">
        <f t="shared" si="1"/>
        <v>20</v>
      </c>
      <c r="G93" s="279" t="s">
        <v>1706</v>
      </c>
    </row>
    <row r="94" spans="1:7" ht="12.9" customHeight="1">
      <c r="A94" s="1047"/>
      <c r="B94" s="277" t="s">
        <v>2290</v>
      </c>
      <c r="C94" s="277" t="s">
        <v>1713</v>
      </c>
      <c r="D94" s="277" t="s">
        <v>1714</v>
      </c>
      <c r="E94" s="278">
        <v>7000</v>
      </c>
      <c r="F94" s="392">
        <f t="shared" si="1"/>
        <v>7</v>
      </c>
      <c r="G94" s="279" t="s">
        <v>1706</v>
      </c>
    </row>
    <row r="95" spans="1:7" ht="12.9" customHeight="1">
      <c r="A95" s="1047"/>
      <c r="B95" s="1045" t="s">
        <v>2291</v>
      </c>
      <c r="C95" s="277" t="s">
        <v>1711</v>
      </c>
      <c r="D95" s="277" t="s">
        <v>1712</v>
      </c>
      <c r="E95" s="278">
        <v>309000</v>
      </c>
      <c r="F95" s="392">
        <f t="shared" si="1"/>
        <v>309</v>
      </c>
      <c r="G95" s="279" t="s">
        <v>1706</v>
      </c>
    </row>
    <row r="96" spans="1:7" ht="12.9" customHeight="1">
      <c r="A96" s="1047"/>
      <c r="B96" s="1045"/>
      <c r="C96" s="277" t="s">
        <v>1713</v>
      </c>
      <c r="D96" s="277" t="s">
        <v>1714</v>
      </c>
      <c r="E96" s="278">
        <v>11000</v>
      </c>
      <c r="F96" s="392">
        <f t="shared" si="1"/>
        <v>11</v>
      </c>
      <c r="G96" s="279" t="s">
        <v>1706</v>
      </c>
    </row>
    <row r="97" spans="1:7" ht="12.9" customHeight="1">
      <c r="A97" s="1047"/>
      <c r="B97" s="1045" t="s">
        <v>2292</v>
      </c>
      <c r="C97" s="277" t="s">
        <v>1711</v>
      </c>
      <c r="D97" s="277" t="s">
        <v>1712</v>
      </c>
      <c r="E97" s="278">
        <v>237000</v>
      </c>
      <c r="F97" s="392">
        <f t="shared" si="1"/>
        <v>237</v>
      </c>
      <c r="G97" s="279" t="s">
        <v>1706</v>
      </c>
    </row>
    <row r="98" spans="1:7" ht="12.9" customHeight="1">
      <c r="A98" s="1047"/>
      <c r="B98" s="1045"/>
      <c r="C98" s="277" t="s">
        <v>1713</v>
      </c>
      <c r="D98" s="277" t="s">
        <v>1714</v>
      </c>
      <c r="E98" s="278">
        <v>32000</v>
      </c>
      <c r="F98" s="392">
        <f t="shared" si="1"/>
        <v>32</v>
      </c>
      <c r="G98" s="279" t="s">
        <v>1706</v>
      </c>
    </row>
    <row r="99" spans="1:7" ht="12.9" customHeight="1">
      <c r="A99" s="1047"/>
      <c r="B99" s="277" t="s">
        <v>2293</v>
      </c>
      <c r="C99" s="277" t="s">
        <v>1713</v>
      </c>
      <c r="D99" s="277" t="s">
        <v>1714</v>
      </c>
      <c r="E99" s="278">
        <v>6000</v>
      </c>
      <c r="F99" s="392">
        <f t="shared" si="1"/>
        <v>6</v>
      </c>
      <c r="G99" s="279" t="s">
        <v>1706</v>
      </c>
    </row>
    <row r="100" spans="1:7" ht="12.9" customHeight="1">
      <c r="A100" s="1047"/>
      <c r="B100" s="1045" t="s">
        <v>2294</v>
      </c>
      <c r="C100" s="277" t="s">
        <v>1711</v>
      </c>
      <c r="D100" s="277" t="s">
        <v>1712</v>
      </c>
      <c r="E100" s="278">
        <v>101000</v>
      </c>
      <c r="F100" s="392">
        <f t="shared" si="1"/>
        <v>101</v>
      </c>
      <c r="G100" s="279" t="s">
        <v>1706</v>
      </c>
    </row>
    <row r="101" spans="1:7" ht="12.9" customHeight="1">
      <c r="A101" s="1047"/>
      <c r="B101" s="1045"/>
      <c r="C101" s="277" t="s">
        <v>1713</v>
      </c>
      <c r="D101" s="277" t="s">
        <v>1714</v>
      </c>
      <c r="E101" s="278">
        <v>6000</v>
      </c>
      <c r="F101" s="392">
        <f t="shared" si="1"/>
        <v>6</v>
      </c>
      <c r="G101" s="279" t="s">
        <v>1706</v>
      </c>
    </row>
    <row r="102" spans="1:7" ht="12.9" customHeight="1">
      <c r="A102" s="1047"/>
      <c r="B102" s="1045" t="s">
        <v>2295</v>
      </c>
      <c r="C102" s="277" t="s">
        <v>1711</v>
      </c>
      <c r="D102" s="277" t="s">
        <v>1712</v>
      </c>
      <c r="E102" s="278">
        <v>205000</v>
      </c>
      <c r="F102" s="392">
        <f t="shared" si="1"/>
        <v>205</v>
      </c>
      <c r="G102" s="279" t="s">
        <v>1706</v>
      </c>
    </row>
    <row r="103" spans="1:7" ht="12.9" customHeight="1">
      <c r="A103" s="1047"/>
      <c r="B103" s="1045"/>
      <c r="C103" s="277" t="s">
        <v>1713</v>
      </c>
      <c r="D103" s="277" t="s">
        <v>1714</v>
      </c>
      <c r="E103" s="278">
        <v>10000</v>
      </c>
      <c r="F103" s="392">
        <f t="shared" si="1"/>
        <v>10</v>
      </c>
      <c r="G103" s="279" t="s">
        <v>1706</v>
      </c>
    </row>
    <row r="104" spans="1:7" ht="26.1" customHeight="1">
      <c r="A104" s="1039"/>
      <c r="B104" s="1045"/>
      <c r="C104" s="277" t="s">
        <v>1715</v>
      </c>
      <c r="D104" s="277" t="s">
        <v>1716</v>
      </c>
      <c r="E104" s="278">
        <v>13000</v>
      </c>
      <c r="F104" s="392">
        <f t="shared" si="1"/>
        <v>13</v>
      </c>
      <c r="G104" s="279" t="s">
        <v>1706</v>
      </c>
    </row>
    <row r="105" spans="1:7" ht="12.9" customHeight="1">
      <c r="A105" s="1043" t="s">
        <v>2296</v>
      </c>
      <c r="B105" s="1045" t="s">
        <v>2297</v>
      </c>
      <c r="C105" s="277" t="s">
        <v>1711</v>
      </c>
      <c r="D105" s="277" t="s">
        <v>1712</v>
      </c>
      <c r="E105" s="278">
        <v>158000</v>
      </c>
      <c r="F105" s="393">
        <f t="shared" si="1"/>
        <v>158</v>
      </c>
      <c r="G105" s="279" t="s">
        <v>1706</v>
      </c>
    </row>
    <row r="106" spans="1:7" ht="12.9" customHeight="1">
      <c r="A106" s="1047"/>
      <c r="B106" s="1045"/>
      <c r="C106" s="277" t="s">
        <v>1713</v>
      </c>
      <c r="D106" s="277" t="s">
        <v>1714</v>
      </c>
      <c r="E106" s="278">
        <v>5000</v>
      </c>
      <c r="F106" s="392">
        <f t="shared" si="1"/>
        <v>5</v>
      </c>
      <c r="G106" s="279" t="s">
        <v>1706</v>
      </c>
    </row>
    <row r="107" spans="1:7" ht="12.9" customHeight="1">
      <c r="A107" s="1047"/>
      <c r="B107" s="1045" t="s">
        <v>2298</v>
      </c>
      <c r="C107" s="277" t="s">
        <v>1711</v>
      </c>
      <c r="D107" s="277" t="s">
        <v>1712</v>
      </c>
      <c r="E107" s="278">
        <v>151000</v>
      </c>
      <c r="F107" s="392">
        <f t="shared" si="1"/>
        <v>151</v>
      </c>
      <c r="G107" s="279" t="s">
        <v>1706</v>
      </c>
    </row>
    <row r="108" spans="1:7" ht="12.9" customHeight="1">
      <c r="A108" s="1047"/>
      <c r="B108" s="1045"/>
      <c r="C108" s="277" t="s">
        <v>1713</v>
      </c>
      <c r="D108" s="277" t="s">
        <v>1714</v>
      </c>
      <c r="E108" s="278">
        <v>12000</v>
      </c>
      <c r="F108" s="392">
        <f t="shared" si="1"/>
        <v>12</v>
      </c>
      <c r="G108" s="279" t="s">
        <v>1706</v>
      </c>
    </row>
    <row r="109" spans="1:7" ht="26.1" customHeight="1">
      <c r="A109" s="1047"/>
      <c r="B109" s="1045"/>
      <c r="C109" s="277" t="s">
        <v>1715</v>
      </c>
      <c r="D109" s="277" t="s">
        <v>1716</v>
      </c>
      <c r="E109" s="278">
        <v>13000</v>
      </c>
      <c r="F109" s="392">
        <f t="shared" si="1"/>
        <v>13</v>
      </c>
      <c r="G109" s="279" t="s">
        <v>1706</v>
      </c>
    </row>
    <row r="110" spans="1:7" ht="12.9" customHeight="1">
      <c r="A110" s="1047"/>
      <c r="B110" s="277" t="s">
        <v>2299</v>
      </c>
      <c r="C110" s="277" t="s">
        <v>1713</v>
      </c>
      <c r="D110" s="277" t="s">
        <v>1714</v>
      </c>
      <c r="E110" s="278">
        <v>11000</v>
      </c>
      <c r="F110" s="392">
        <f t="shared" si="1"/>
        <v>11</v>
      </c>
      <c r="G110" s="279" t="s">
        <v>1706</v>
      </c>
    </row>
    <row r="111" spans="1:7" ht="12.9" customHeight="1">
      <c r="A111" s="1047"/>
      <c r="B111" s="1045" t="s">
        <v>2301</v>
      </c>
      <c r="C111" s="277" t="s">
        <v>1711</v>
      </c>
      <c r="D111" s="277" t="s">
        <v>1712</v>
      </c>
      <c r="E111" s="278">
        <v>135000</v>
      </c>
      <c r="F111" s="392">
        <f t="shared" si="1"/>
        <v>135</v>
      </c>
      <c r="G111" s="279" t="s">
        <v>1706</v>
      </c>
    </row>
    <row r="112" spans="1:7" ht="12.9" customHeight="1">
      <c r="A112" s="1047"/>
      <c r="B112" s="1045"/>
      <c r="C112" s="277" t="s">
        <v>1713</v>
      </c>
      <c r="D112" s="277" t="s">
        <v>1714</v>
      </c>
      <c r="E112" s="278">
        <v>39000</v>
      </c>
      <c r="F112" s="392">
        <f t="shared" si="1"/>
        <v>39</v>
      </c>
      <c r="G112" s="279" t="s">
        <v>1706</v>
      </c>
    </row>
    <row r="113" spans="1:7" ht="12.9" customHeight="1">
      <c r="A113" s="1047"/>
      <c r="B113" s="277" t="s">
        <v>2302</v>
      </c>
      <c r="C113" s="277" t="s">
        <v>1711</v>
      </c>
      <c r="D113" s="277" t="s">
        <v>1712</v>
      </c>
      <c r="E113" s="278">
        <v>101000</v>
      </c>
      <c r="F113" s="392">
        <f t="shared" si="1"/>
        <v>101</v>
      </c>
      <c r="G113" s="279" t="s">
        <v>1706</v>
      </c>
    </row>
    <row r="114" spans="1:7" ht="12.9" customHeight="1">
      <c r="A114" s="1047"/>
      <c r="B114" s="277" t="s">
        <v>2303</v>
      </c>
      <c r="C114" s="277" t="s">
        <v>1711</v>
      </c>
      <c r="D114" s="277" t="s">
        <v>1712</v>
      </c>
      <c r="E114" s="278">
        <v>48000</v>
      </c>
      <c r="F114" s="392">
        <f t="shared" si="1"/>
        <v>48</v>
      </c>
      <c r="G114" s="279" t="s">
        <v>1706</v>
      </c>
    </row>
    <row r="115" spans="1:7" ht="12.9" customHeight="1">
      <c r="A115" s="1047"/>
      <c r="B115" s="277" t="s">
        <v>2304</v>
      </c>
      <c r="C115" s="277" t="s">
        <v>1713</v>
      </c>
      <c r="D115" s="277" t="s">
        <v>1714</v>
      </c>
      <c r="E115" s="278">
        <v>8000</v>
      </c>
      <c r="F115" s="392">
        <f t="shared" si="1"/>
        <v>8</v>
      </c>
      <c r="G115" s="279" t="s">
        <v>1706</v>
      </c>
    </row>
    <row r="116" spans="1:7" ht="12.9" customHeight="1">
      <c r="A116" s="1047"/>
      <c r="B116" s="1045" t="s">
        <v>2305</v>
      </c>
      <c r="C116" s="277" t="s">
        <v>1711</v>
      </c>
      <c r="D116" s="277" t="s">
        <v>1712</v>
      </c>
      <c r="E116" s="278">
        <v>41000</v>
      </c>
      <c r="F116" s="392">
        <f t="shared" si="1"/>
        <v>41</v>
      </c>
      <c r="G116" s="279" t="s">
        <v>1706</v>
      </c>
    </row>
    <row r="117" spans="1:7" ht="12.9" customHeight="1">
      <c r="A117" s="1047"/>
      <c r="B117" s="1045"/>
      <c r="C117" s="277" t="s">
        <v>1713</v>
      </c>
      <c r="D117" s="277" t="s">
        <v>1714</v>
      </c>
      <c r="E117" s="278">
        <v>16000</v>
      </c>
      <c r="F117" s="392">
        <f t="shared" si="1"/>
        <v>16</v>
      </c>
      <c r="G117" s="279" t="s">
        <v>1706</v>
      </c>
    </row>
    <row r="118" spans="1:7" ht="12.9" customHeight="1">
      <c r="A118" s="1047"/>
      <c r="B118" s="1045" t="s">
        <v>2306</v>
      </c>
      <c r="C118" s="277" t="s">
        <v>1711</v>
      </c>
      <c r="D118" s="277" t="s">
        <v>1712</v>
      </c>
      <c r="E118" s="278">
        <v>107000</v>
      </c>
      <c r="F118" s="392">
        <f t="shared" si="1"/>
        <v>107</v>
      </c>
      <c r="G118" s="279" t="s">
        <v>1706</v>
      </c>
    </row>
    <row r="119" spans="1:7" ht="12.9" customHeight="1">
      <c r="A119" s="1047"/>
      <c r="B119" s="1045"/>
      <c r="C119" s="277" t="s">
        <v>1713</v>
      </c>
      <c r="D119" s="277" t="s">
        <v>1714</v>
      </c>
      <c r="E119" s="278">
        <v>42000</v>
      </c>
      <c r="F119" s="392">
        <f t="shared" si="1"/>
        <v>42</v>
      </c>
      <c r="G119" s="279" t="s">
        <v>1706</v>
      </c>
    </row>
    <row r="120" spans="1:7" ht="12.9" customHeight="1">
      <c r="A120" s="1047"/>
      <c r="B120" s="1045" t="s">
        <v>2307</v>
      </c>
      <c r="C120" s="277" t="s">
        <v>1711</v>
      </c>
      <c r="D120" s="277" t="s">
        <v>1712</v>
      </c>
      <c r="E120" s="278">
        <v>573000</v>
      </c>
      <c r="F120" s="392">
        <f t="shared" si="1"/>
        <v>573</v>
      </c>
      <c r="G120" s="279" t="s">
        <v>1706</v>
      </c>
    </row>
    <row r="121" spans="1:7" ht="12.9" customHeight="1">
      <c r="A121" s="1047"/>
      <c r="B121" s="1045"/>
      <c r="C121" s="277" t="s">
        <v>1713</v>
      </c>
      <c r="D121" s="277" t="s">
        <v>1714</v>
      </c>
      <c r="E121" s="278">
        <v>1000</v>
      </c>
      <c r="F121" s="392">
        <f t="shared" si="1"/>
        <v>1</v>
      </c>
      <c r="G121" s="279" t="s">
        <v>1706</v>
      </c>
    </row>
    <row r="122" spans="1:7" ht="26.1" customHeight="1">
      <c r="A122" s="1047"/>
      <c r="B122" s="1045"/>
      <c r="C122" s="277" t="s">
        <v>1715</v>
      </c>
      <c r="D122" s="277" t="s">
        <v>1716</v>
      </c>
      <c r="E122" s="278">
        <v>17000</v>
      </c>
      <c r="F122" s="392">
        <f t="shared" si="1"/>
        <v>17</v>
      </c>
      <c r="G122" s="279" t="s">
        <v>1706</v>
      </c>
    </row>
    <row r="123" spans="1:7" ht="12.9" customHeight="1">
      <c r="A123" s="1047"/>
      <c r="B123" s="277" t="s">
        <v>2310</v>
      </c>
      <c r="C123" s="277" t="s">
        <v>1713</v>
      </c>
      <c r="D123" s="277" t="s">
        <v>1714</v>
      </c>
      <c r="E123" s="278">
        <v>8000</v>
      </c>
      <c r="F123" s="392">
        <f t="shared" si="1"/>
        <v>8</v>
      </c>
      <c r="G123" s="279" t="s">
        <v>1706</v>
      </c>
    </row>
    <row r="124" spans="1:7" ht="12.9" customHeight="1">
      <c r="A124" s="1047"/>
      <c r="B124" s="277" t="s">
        <v>2312</v>
      </c>
      <c r="C124" s="277" t="s">
        <v>1713</v>
      </c>
      <c r="D124" s="277" t="s">
        <v>1714</v>
      </c>
      <c r="E124" s="278">
        <v>5000</v>
      </c>
      <c r="F124" s="392">
        <f t="shared" si="1"/>
        <v>5</v>
      </c>
      <c r="G124" s="279" t="s">
        <v>1706</v>
      </c>
    </row>
    <row r="125" spans="1:7" ht="12.9" customHeight="1">
      <c r="A125" s="1039"/>
      <c r="B125" s="277" t="s">
        <v>2313</v>
      </c>
      <c r="C125" s="277" t="s">
        <v>1711</v>
      </c>
      <c r="D125" s="277" t="s">
        <v>1712</v>
      </c>
      <c r="E125" s="278">
        <v>52000</v>
      </c>
      <c r="F125" s="392">
        <f t="shared" si="1"/>
        <v>52</v>
      </c>
      <c r="G125" s="279" t="s">
        <v>1706</v>
      </c>
    </row>
    <row r="126" spans="1:7" ht="12.9" customHeight="1">
      <c r="A126" s="1043" t="s">
        <v>2296</v>
      </c>
      <c r="B126" s="1046" t="s">
        <v>2313</v>
      </c>
      <c r="C126" s="277" t="s">
        <v>1713</v>
      </c>
      <c r="D126" s="277" t="s">
        <v>1714</v>
      </c>
      <c r="E126" s="278">
        <v>4000</v>
      </c>
      <c r="F126" s="393">
        <f t="shared" si="1"/>
        <v>4</v>
      </c>
      <c r="G126" s="279" t="s">
        <v>1706</v>
      </c>
    </row>
    <row r="127" spans="1:7" ht="26.1" customHeight="1">
      <c r="A127" s="1047"/>
      <c r="B127" s="1055"/>
      <c r="C127" s="277" t="s">
        <v>1715</v>
      </c>
      <c r="D127" s="277" t="s">
        <v>1716</v>
      </c>
      <c r="E127" s="278">
        <v>15000</v>
      </c>
      <c r="F127" s="392">
        <f t="shared" si="1"/>
        <v>15</v>
      </c>
      <c r="G127" s="279" t="s">
        <v>1706</v>
      </c>
    </row>
    <row r="128" spans="1:7" ht="12.9" customHeight="1">
      <c r="A128" s="1047"/>
      <c r="B128" s="1045" t="s">
        <v>2315</v>
      </c>
      <c r="C128" s="277" t="s">
        <v>1711</v>
      </c>
      <c r="D128" s="277" t="s">
        <v>1712</v>
      </c>
      <c r="E128" s="278">
        <v>97000</v>
      </c>
      <c r="F128" s="392">
        <f t="shared" si="1"/>
        <v>97</v>
      </c>
      <c r="G128" s="279" t="s">
        <v>1706</v>
      </c>
    </row>
    <row r="129" spans="1:7" ht="12.9" customHeight="1">
      <c r="A129" s="1047"/>
      <c r="B129" s="1045"/>
      <c r="C129" s="277" t="s">
        <v>1713</v>
      </c>
      <c r="D129" s="277" t="s">
        <v>1714</v>
      </c>
      <c r="E129" s="278">
        <v>19000</v>
      </c>
      <c r="F129" s="392">
        <f t="shared" si="1"/>
        <v>19</v>
      </c>
      <c r="G129" s="279" t="s">
        <v>1706</v>
      </c>
    </row>
    <row r="130" spans="1:7" ht="12.9" customHeight="1">
      <c r="A130" s="1047"/>
      <c r="B130" s="277" t="s">
        <v>2316</v>
      </c>
      <c r="C130" s="277" t="s">
        <v>1711</v>
      </c>
      <c r="D130" s="277" t="s">
        <v>1712</v>
      </c>
      <c r="E130" s="278">
        <v>90000</v>
      </c>
      <c r="F130" s="392">
        <f t="shared" si="1"/>
        <v>90</v>
      </c>
      <c r="G130" s="279" t="s">
        <v>1706</v>
      </c>
    </row>
    <row r="131" spans="1:7" ht="12.9" customHeight="1">
      <c r="A131" s="1047"/>
      <c r="B131" s="1045" t="s">
        <v>2319</v>
      </c>
      <c r="C131" s="277" t="s">
        <v>1711</v>
      </c>
      <c r="D131" s="277" t="s">
        <v>1712</v>
      </c>
      <c r="E131" s="278">
        <v>163000</v>
      </c>
      <c r="F131" s="392">
        <f t="shared" si="1"/>
        <v>163</v>
      </c>
      <c r="G131" s="279" t="s">
        <v>1706</v>
      </c>
    </row>
    <row r="132" spans="1:7" ht="12.9" customHeight="1">
      <c r="A132" s="1039"/>
      <c r="B132" s="1045"/>
      <c r="C132" s="277" t="s">
        <v>1713</v>
      </c>
      <c r="D132" s="277" t="s">
        <v>1714</v>
      </c>
      <c r="E132" s="278">
        <v>12000</v>
      </c>
      <c r="F132" s="392">
        <f t="shared" si="1"/>
        <v>12</v>
      </c>
      <c r="G132" s="279" t="s">
        <v>1706</v>
      </c>
    </row>
    <row r="133" spans="1:7" ht="12.9" customHeight="1">
      <c r="A133" s="1041" t="s">
        <v>2320</v>
      </c>
      <c r="B133" s="277" t="s">
        <v>2322</v>
      </c>
      <c r="C133" s="277" t="s">
        <v>1713</v>
      </c>
      <c r="D133" s="277" t="s">
        <v>1714</v>
      </c>
      <c r="E133" s="278">
        <v>14000</v>
      </c>
      <c r="F133" s="392">
        <f t="shared" si="1"/>
        <v>14</v>
      </c>
      <c r="G133" s="279" t="s">
        <v>1706</v>
      </c>
    </row>
    <row r="134" spans="1:7" ht="12.9" customHeight="1">
      <c r="A134" s="1041"/>
      <c r="B134" s="277" t="s">
        <v>2324</v>
      </c>
      <c r="C134" s="277" t="s">
        <v>1713</v>
      </c>
      <c r="D134" s="277" t="s">
        <v>1714</v>
      </c>
      <c r="E134" s="278">
        <v>3000</v>
      </c>
      <c r="F134" s="392">
        <f t="shared" ref="F134:F197" si="2">E134/1000</f>
        <v>3</v>
      </c>
      <c r="G134" s="279" t="s">
        <v>1706</v>
      </c>
    </row>
    <row r="135" spans="1:7" ht="12.9" customHeight="1">
      <c r="A135" s="1041"/>
      <c r="B135" s="277" t="s">
        <v>2327</v>
      </c>
      <c r="C135" s="277" t="s">
        <v>1713</v>
      </c>
      <c r="D135" s="277" t="s">
        <v>1714</v>
      </c>
      <c r="E135" s="278">
        <v>39000</v>
      </c>
      <c r="F135" s="392">
        <f t="shared" si="2"/>
        <v>39</v>
      </c>
      <c r="G135" s="279" t="s">
        <v>1706</v>
      </c>
    </row>
    <row r="136" spans="1:7" ht="12.9" customHeight="1">
      <c r="A136" s="1041"/>
      <c r="B136" s="277" t="s">
        <v>2330</v>
      </c>
      <c r="C136" s="277" t="s">
        <v>1711</v>
      </c>
      <c r="D136" s="277" t="s">
        <v>1712</v>
      </c>
      <c r="E136" s="278">
        <v>44000</v>
      </c>
      <c r="F136" s="392">
        <f t="shared" si="2"/>
        <v>44</v>
      </c>
      <c r="G136" s="279" t="s">
        <v>1706</v>
      </c>
    </row>
    <row r="137" spans="1:7" ht="12.9" customHeight="1">
      <c r="A137" s="1041"/>
      <c r="B137" s="1045" t="s">
        <v>2331</v>
      </c>
      <c r="C137" s="277" t="s">
        <v>1711</v>
      </c>
      <c r="D137" s="277" t="s">
        <v>1712</v>
      </c>
      <c r="E137" s="278">
        <v>60000</v>
      </c>
      <c r="F137" s="392">
        <f t="shared" si="2"/>
        <v>60</v>
      </c>
      <c r="G137" s="279" t="s">
        <v>1706</v>
      </c>
    </row>
    <row r="138" spans="1:7" ht="12.9" customHeight="1">
      <c r="A138" s="1041"/>
      <c r="B138" s="1045"/>
      <c r="C138" s="277" t="s">
        <v>1713</v>
      </c>
      <c r="D138" s="277" t="s">
        <v>1714</v>
      </c>
      <c r="E138" s="278">
        <v>14000</v>
      </c>
      <c r="F138" s="392">
        <f t="shared" si="2"/>
        <v>14</v>
      </c>
      <c r="G138" s="279" t="s">
        <v>1706</v>
      </c>
    </row>
    <row r="139" spans="1:7" ht="12.9" customHeight="1">
      <c r="A139" s="1041"/>
      <c r="B139" s="1045" t="s">
        <v>2333</v>
      </c>
      <c r="C139" s="277" t="s">
        <v>1711</v>
      </c>
      <c r="D139" s="277" t="s">
        <v>1712</v>
      </c>
      <c r="E139" s="278">
        <v>110000</v>
      </c>
      <c r="F139" s="392">
        <f t="shared" si="2"/>
        <v>110</v>
      </c>
      <c r="G139" s="279" t="s">
        <v>1706</v>
      </c>
    </row>
    <row r="140" spans="1:7" ht="12.9" customHeight="1">
      <c r="A140" s="1041"/>
      <c r="B140" s="1045"/>
      <c r="C140" s="277" t="s">
        <v>1713</v>
      </c>
      <c r="D140" s="277" t="s">
        <v>1714</v>
      </c>
      <c r="E140" s="278">
        <v>11000</v>
      </c>
      <c r="F140" s="392">
        <f t="shared" si="2"/>
        <v>11</v>
      </c>
      <c r="G140" s="279" t="s">
        <v>1706</v>
      </c>
    </row>
    <row r="141" spans="1:7" ht="12.9" customHeight="1">
      <c r="A141" s="1041" t="s">
        <v>2334</v>
      </c>
      <c r="B141" s="277" t="s">
        <v>2335</v>
      </c>
      <c r="C141" s="277" t="s">
        <v>1713</v>
      </c>
      <c r="D141" s="277" t="s">
        <v>1714</v>
      </c>
      <c r="E141" s="278">
        <v>8000</v>
      </c>
      <c r="F141" s="392">
        <f t="shared" si="2"/>
        <v>8</v>
      </c>
      <c r="G141" s="279" t="s">
        <v>1706</v>
      </c>
    </row>
    <row r="142" spans="1:7" ht="12.9" customHeight="1">
      <c r="A142" s="1041"/>
      <c r="B142" s="277" t="s">
        <v>2337</v>
      </c>
      <c r="C142" s="277" t="s">
        <v>1713</v>
      </c>
      <c r="D142" s="277" t="s">
        <v>1714</v>
      </c>
      <c r="E142" s="278">
        <v>16000</v>
      </c>
      <c r="F142" s="392">
        <f t="shared" si="2"/>
        <v>16</v>
      </c>
      <c r="G142" s="279" t="s">
        <v>1706</v>
      </c>
    </row>
    <row r="143" spans="1:7" ht="12.9" customHeight="1">
      <c r="A143" s="1041"/>
      <c r="B143" s="1045" t="s">
        <v>2338</v>
      </c>
      <c r="C143" s="277" t="s">
        <v>1713</v>
      </c>
      <c r="D143" s="277" t="s">
        <v>1714</v>
      </c>
      <c r="E143" s="278">
        <v>31000</v>
      </c>
      <c r="F143" s="392">
        <f t="shared" si="2"/>
        <v>31</v>
      </c>
      <c r="G143" s="279" t="s">
        <v>1706</v>
      </c>
    </row>
    <row r="144" spans="1:7" ht="26.1" customHeight="1">
      <c r="A144" s="1041"/>
      <c r="B144" s="1045"/>
      <c r="C144" s="277" t="s">
        <v>1715</v>
      </c>
      <c r="D144" s="277" t="s">
        <v>1716</v>
      </c>
      <c r="E144" s="278">
        <v>15000</v>
      </c>
      <c r="F144" s="392">
        <f t="shared" si="2"/>
        <v>15</v>
      </c>
      <c r="G144" s="279" t="s">
        <v>1706</v>
      </c>
    </row>
    <row r="145" spans="1:7" ht="12.9" customHeight="1">
      <c r="A145" s="1041"/>
      <c r="B145" s="1045" t="s">
        <v>2342</v>
      </c>
      <c r="C145" s="277" t="s">
        <v>1711</v>
      </c>
      <c r="D145" s="277" t="s">
        <v>1712</v>
      </c>
      <c r="E145" s="278">
        <v>140000</v>
      </c>
      <c r="F145" s="392">
        <f t="shared" si="2"/>
        <v>140</v>
      </c>
      <c r="G145" s="279" t="s">
        <v>1706</v>
      </c>
    </row>
    <row r="146" spans="1:7" ht="12.9" customHeight="1">
      <c r="A146" s="1041"/>
      <c r="B146" s="1045"/>
      <c r="C146" s="277" t="s">
        <v>1713</v>
      </c>
      <c r="D146" s="277" t="s">
        <v>1714</v>
      </c>
      <c r="E146" s="278">
        <v>16000</v>
      </c>
      <c r="F146" s="392">
        <f t="shared" si="2"/>
        <v>16</v>
      </c>
      <c r="G146" s="279" t="s">
        <v>1706</v>
      </c>
    </row>
    <row r="147" spans="1:7" ht="26.1" customHeight="1">
      <c r="A147" s="1041"/>
      <c r="B147" s="1045"/>
      <c r="C147" s="277" t="s">
        <v>1715</v>
      </c>
      <c r="D147" s="277" t="s">
        <v>1716</v>
      </c>
      <c r="E147" s="278">
        <v>10000</v>
      </c>
      <c r="F147" s="392">
        <f t="shared" si="2"/>
        <v>10</v>
      </c>
      <c r="G147" s="279" t="s">
        <v>1706</v>
      </c>
    </row>
    <row r="148" spans="1:7" ht="12.9" customHeight="1">
      <c r="A148" s="1041"/>
      <c r="B148" s="277" t="s">
        <v>2343</v>
      </c>
      <c r="C148" s="277" t="s">
        <v>1713</v>
      </c>
      <c r="D148" s="277" t="s">
        <v>1714</v>
      </c>
      <c r="E148" s="278">
        <v>6000</v>
      </c>
      <c r="F148" s="392">
        <f t="shared" si="2"/>
        <v>6</v>
      </c>
      <c r="G148" s="279" t="s">
        <v>1706</v>
      </c>
    </row>
    <row r="149" spans="1:7" ht="12.9" customHeight="1">
      <c r="A149" s="1041"/>
      <c r="B149" s="277" t="s">
        <v>2344</v>
      </c>
      <c r="C149" s="277" t="s">
        <v>1713</v>
      </c>
      <c r="D149" s="277" t="s">
        <v>1714</v>
      </c>
      <c r="E149" s="278">
        <v>7000</v>
      </c>
      <c r="F149" s="392">
        <f t="shared" si="2"/>
        <v>7</v>
      </c>
      <c r="G149" s="279" t="s">
        <v>1706</v>
      </c>
    </row>
    <row r="150" spans="1:7" ht="12.9" customHeight="1">
      <c r="A150" s="1041"/>
      <c r="B150" s="277" t="s">
        <v>2346</v>
      </c>
      <c r="C150" s="277" t="s">
        <v>1713</v>
      </c>
      <c r="D150" s="277" t="s">
        <v>1714</v>
      </c>
      <c r="E150" s="278">
        <v>13000</v>
      </c>
      <c r="F150" s="392">
        <f t="shared" si="2"/>
        <v>13</v>
      </c>
      <c r="G150" s="279" t="s">
        <v>1706</v>
      </c>
    </row>
    <row r="151" spans="1:7" ht="12.9" customHeight="1">
      <c r="A151" s="1041"/>
      <c r="B151" s="277" t="s">
        <v>2347</v>
      </c>
      <c r="C151" s="277" t="s">
        <v>1713</v>
      </c>
      <c r="D151" s="277" t="s">
        <v>1714</v>
      </c>
      <c r="E151" s="278">
        <v>1000</v>
      </c>
      <c r="F151" s="392">
        <f t="shared" si="2"/>
        <v>1</v>
      </c>
      <c r="G151" s="279" t="s">
        <v>1706</v>
      </c>
    </row>
    <row r="152" spans="1:7" ht="12.9" customHeight="1">
      <c r="A152" s="1041"/>
      <c r="B152" s="1045" t="s">
        <v>2348</v>
      </c>
      <c r="C152" s="277" t="s">
        <v>1711</v>
      </c>
      <c r="D152" s="277" t="s">
        <v>1712</v>
      </c>
      <c r="E152" s="278">
        <v>272000</v>
      </c>
      <c r="F152" s="392">
        <f t="shared" si="2"/>
        <v>272</v>
      </c>
      <c r="G152" s="279" t="s">
        <v>1706</v>
      </c>
    </row>
    <row r="153" spans="1:7" ht="12.9" customHeight="1">
      <c r="A153" s="1041"/>
      <c r="B153" s="1045"/>
      <c r="C153" s="277" t="s">
        <v>1713</v>
      </c>
      <c r="D153" s="277" t="s">
        <v>1714</v>
      </c>
      <c r="E153" s="278">
        <v>31000</v>
      </c>
      <c r="F153" s="392">
        <f t="shared" si="2"/>
        <v>31</v>
      </c>
      <c r="G153" s="279" t="s">
        <v>1706</v>
      </c>
    </row>
    <row r="154" spans="1:7" ht="12.9" customHeight="1">
      <c r="A154" s="1041"/>
      <c r="B154" s="1045" t="s">
        <v>2349</v>
      </c>
      <c r="C154" s="277" t="s">
        <v>1711</v>
      </c>
      <c r="D154" s="277" t="s">
        <v>1712</v>
      </c>
      <c r="E154" s="278">
        <v>340000</v>
      </c>
      <c r="F154" s="392">
        <f t="shared" si="2"/>
        <v>340</v>
      </c>
      <c r="G154" s="279" t="s">
        <v>1706</v>
      </c>
    </row>
    <row r="155" spans="1:7" ht="12.9" customHeight="1">
      <c r="A155" s="1041"/>
      <c r="B155" s="1045"/>
      <c r="C155" s="277" t="s">
        <v>1713</v>
      </c>
      <c r="D155" s="277" t="s">
        <v>1714</v>
      </c>
      <c r="E155" s="278">
        <v>49000</v>
      </c>
      <c r="F155" s="392">
        <f t="shared" si="2"/>
        <v>49</v>
      </c>
      <c r="G155" s="279" t="s">
        <v>1706</v>
      </c>
    </row>
    <row r="156" spans="1:7" ht="12.9" customHeight="1">
      <c r="A156" s="1041"/>
      <c r="B156" s="277" t="s">
        <v>2351</v>
      </c>
      <c r="C156" s="277" t="s">
        <v>1713</v>
      </c>
      <c r="D156" s="277" t="s">
        <v>1714</v>
      </c>
      <c r="E156" s="278">
        <v>12000</v>
      </c>
      <c r="F156" s="392">
        <f t="shared" si="2"/>
        <v>12</v>
      </c>
      <c r="G156" s="279" t="s">
        <v>1706</v>
      </c>
    </row>
    <row r="157" spans="1:7" ht="12.9" customHeight="1">
      <c r="A157" s="1041"/>
      <c r="B157" s="277" t="s">
        <v>2352</v>
      </c>
      <c r="C157" s="277" t="s">
        <v>1713</v>
      </c>
      <c r="D157" s="277" t="s">
        <v>1714</v>
      </c>
      <c r="E157" s="278">
        <v>8000</v>
      </c>
      <c r="F157" s="392">
        <f t="shared" si="2"/>
        <v>8</v>
      </c>
      <c r="G157" s="279" t="s">
        <v>1706</v>
      </c>
    </row>
    <row r="158" spans="1:7" ht="12.9" customHeight="1">
      <c r="A158" s="1041"/>
      <c r="B158" s="277" t="s">
        <v>2354</v>
      </c>
      <c r="C158" s="277" t="s">
        <v>1713</v>
      </c>
      <c r="D158" s="277" t="s">
        <v>1714</v>
      </c>
      <c r="E158" s="278">
        <v>20000</v>
      </c>
      <c r="F158" s="392">
        <f t="shared" si="2"/>
        <v>20</v>
      </c>
      <c r="G158" s="279" t="s">
        <v>1706</v>
      </c>
    </row>
    <row r="159" spans="1:7" ht="12.9" customHeight="1">
      <c r="A159" s="1041"/>
      <c r="B159" s="277" t="s">
        <v>2355</v>
      </c>
      <c r="C159" s="277" t="s">
        <v>1713</v>
      </c>
      <c r="D159" s="277" t="s">
        <v>1714</v>
      </c>
      <c r="E159" s="278">
        <v>10000</v>
      </c>
      <c r="F159" s="392">
        <f t="shared" si="2"/>
        <v>10</v>
      </c>
      <c r="G159" s="279" t="s">
        <v>1706</v>
      </c>
    </row>
    <row r="160" spans="1:7" ht="12.9" customHeight="1">
      <c r="A160" s="1041"/>
      <c r="B160" s="277" t="s">
        <v>2356</v>
      </c>
      <c r="C160" s="277" t="s">
        <v>1713</v>
      </c>
      <c r="D160" s="277" t="s">
        <v>1714</v>
      </c>
      <c r="E160" s="278">
        <v>26000</v>
      </c>
      <c r="F160" s="392">
        <f t="shared" si="2"/>
        <v>26</v>
      </c>
      <c r="G160" s="279" t="s">
        <v>1706</v>
      </c>
    </row>
    <row r="161" spans="1:7" ht="12.9" customHeight="1">
      <c r="A161" s="1041"/>
      <c r="B161" s="277" t="s">
        <v>2361</v>
      </c>
      <c r="C161" s="277" t="s">
        <v>1713</v>
      </c>
      <c r="D161" s="277" t="s">
        <v>1714</v>
      </c>
      <c r="E161" s="278">
        <v>7000</v>
      </c>
      <c r="F161" s="392">
        <f t="shared" si="2"/>
        <v>7</v>
      </c>
      <c r="G161" s="279" t="s">
        <v>1706</v>
      </c>
    </row>
    <row r="162" spans="1:7" ht="12.9" customHeight="1">
      <c r="A162" s="1041"/>
      <c r="B162" s="277" t="s">
        <v>2362</v>
      </c>
      <c r="C162" s="277" t="s">
        <v>1713</v>
      </c>
      <c r="D162" s="277" t="s">
        <v>1714</v>
      </c>
      <c r="E162" s="278">
        <v>28000</v>
      </c>
      <c r="F162" s="392">
        <f t="shared" si="2"/>
        <v>28</v>
      </c>
      <c r="G162" s="279" t="s">
        <v>1706</v>
      </c>
    </row>
    <row r="163" spans="1:7" ht="12.9" customHeight="1">
      <c r="A163" s="1041"/>
      <c r="B163" s="1045" t="s">
        <v>2364</v>
      </c>
      <c r="C163" s="277" t="s">
        <v>1711</v>
      </c>
      <c r="D163" s="277" t="s">
        <v>1712</v>
      </c>
      <c r="E163" s="278">
        <v>82000</v>
      </c>
      <c r="F163" s="392">
        <f t="shared" si="2"/>
        <v>82</v>
      </c>
      <c r="G163" s="279" t="s">
        <v>1706</v>
      </c>
    </row>
    <row r="164" spans="1:7" ht="12.9" customHeight="1">
      <c r="A164" s="1041"/>
      <c r="B164" s="1045"/>
      <c r="C164" s="277" t="s">
        <v>1713</v>
      </c>
      <c r="D164" s="277" t="s">
        <v>1714</v>
      </c>
      <c r="E164" s="278">
        <v>14000</v>
      </c>
      <c r="F164" s="392">
        <f t="shared" si="2"/>
        <v>14</v>
      </c>
      <c r="G164" s="279" t="s">
        <v>1706</v>
      </c>
    </row>
    <row r="165" spans="1:7" ht="12.9" customHeight="1">
      <c r="A165" s="1041"/>
      <c r="B165" s="1045" t="s">
        <v>2365</v>
      </c>
      <c r="C165" s="277" t="s">
        <v>1711</v>
      </c>
      <c r="D165" s="277" t="s">
        <v>1712</v>
      </c>
      <c r="E165" s="278">
        <v>76000</v>
      </c>
      <c r="F165" s="392">
        <f t="shared" si="2"/>
        <v>76</v>
      </c>
      <c r="G165" s="279" t="s">
        <v>1706</v>
      </c>
    </row>
    <row r="166" spans="1:7" ht="12.9" customHeight="1">
      <c r="A166" s="1041"/>
      <c r="B166" s="1045"/>
      <c r="C166" s="277" t="s">
        <v>1713</v>
      </c>
      <c r="D166" s="277" t="s">
        <v>1714</v>
      </c>
      <c r="E166" s="278">
        <v>24000</v>
      </c>
      <c r="F166" s="392">
        <f t="shared" si="2"/>
        <v>24</v>
      </c>
      <c r="G166" s="279" t="s">
        <v>1706</v>
      </c>
    </row>
    <row r="167" spans="1:7" ht="26.1" customHeight="1">
      <c r="A167" s="1041"/>
      <c r="B167" s="1045"/>
      <c r="C167" s="277" t="s">
        <v>1715</v>
      </c>
      <c r="D167" s="277" t="s">
        <v>1716</v>
      </c>
      <c r="E167" s="278">
        <v>11000</v>
      </c>
      <c r="F167" s="392">
        <f t="shared" si="2"/>
        <v>11</v>
      </c>
      <c r="G167" s="279" t="s">
        <v>1706</v>
      </c>
    </row>
    <row r="168" spans="1:7" ht="12.9" customHeight="1">
      <c r="A168" s="1041"/>
      <c r="B168" s="277" t="s">
        <v>2366</v>
      </c>
      <c r="C168" s="277" t="s">
        <v>1711</v>
      </c>
      <c r="D168" s="277" t="s">
        <v>1712</v>
      </c>
      <c r="E168" s="278">
        <v>143000</v>
      </c>
      <c r="F168" s="392">
        <f t="shared" si="2"/>
        <v>143</v>
      </c>
      <c r="G168" s="279" t="s">
        <v>1706</v>
      </c>
    </row>
    <row r="169" spans="1:7" ht="12.9" customHeight="1">
      <c r="A169" s="1041"/>
      <c r="B169" s="277" t="s">
        <v>2367</v>
      </c>
      <c r="C169" s="277" t="s">
        <v>1713</v>
      </c>
      <c r="D169" s="277" t="s">
        <v>1714</v>
      </c>
      <c r="E169" s="278">
        <v>35000</v>
      </c>
      <c r="F169" s="392">
        <f t="shared" si="2"/>
        <v>35</v>
      </c>
      <c r="G169" s="279" t="s">
        <v>1706</v>
      </c>
    </row>
    <row r="170" spans="1:7" ht="12.9" customHeight="1">
      <c r="A170" s="1041"/>
      <c r="B170" s="277" t="s">
        <v>2595</v>
      </c>
      <c r="C170" s="277" t="s">
        <v>1713</v>
      </c>
      <c r="D170" s="277" t="s">
        <v>1714</v>
      </c>
      <c r="E170" s="278">
        <v>4000</v>
      </c>
      <c r="F170" s="392">
        <f t="shared" si="2"/>
        <v>4</v>
      </c>
      <c r="G170" s="279" t="s">
        <v>1706</v>
      </c>
    </row>
    <row r="171" spans="1:7" ht="12.9" customHeight="1">
      <c r="A171" s="1043" t="s">
        <v>2371</v>
      </c>
      <c r="B171" s="1045" t="s">
        <v>2372</v>
      </c>
      <c r="C171" s="277" t="s">
        <v>1711</v>
      </c>
      <c r="D171" s="277" t="s">
        <v>1712</v>
      </c>
      <c r="E171" s="278">
        <v>653000</v>
      </c>
      <c r="F171" s="393">
        <f t="shared" si="2"/>
        <v>653</v>
      </c>
      <c r="G171" s="279" t="s">
        <v>1706</v>
      </c>
    </row>
    <row r="172" spans="1:7" ht="12.9" customHeight="1">
      <c r="A172" s="1047"/>
      <c r="B172" s="1045"/>
      <c r="C172" s="277" t="s">
        <v>1713</v>
      </c>
      <c r="D172" s="277" t="s">
        <v>1714</v>
      </c>
      <c r="E172" s="278">
        <v>56000</v>
      </c>
      <c r="F172" s="392">
        <f t="shared" si="2"/>
        <v>56</v>
      </c>
      <c r="G172" s="279" t="s">
        <v>1706</v>
      </c>
    </row>
    <row r="173" spans="1:7" ht="26.1" customHeight="1">
      <c r="A173" s="1047"/>
      <c r="B173" s="1045"/>
      <c r="C173" s="277" t="s">
        <v>1715</v>
      </c>
      <c r="D173" s="277" t="s">
        <v>1716</v>
      </c>
      <c r="E173" s="278">
        <v>10000</v>
      </c>
      <c r="F173" s="392">
        <f t="shared" si="2"/>
        <v>10</v>
      </c>
      <c r="G173" s="279" t="s">
        <v>1706</v>
      </c>
    </row>
    <row r="174" spans="1:7" ht="26.1" customHeight="1">
      <c r="A174" s="1047"/>
      <c r="B174" s="1045"/>
      <c r="C174" s="277" t="s">
        <v>1717</v>
      </c>
      <c r="D174" s="277" t="s">
        <v>1718</v>
      </c>
      <c r="E174" s="278">
        <v>98319</v>
      </c>
      <c r="F174" s="392">
        <f t="shared" si="2"/>
        <v>98.319000000000003</v>
      </c>
      <c r="G174" s="279" t="s">
        <v>1706</v>
      </c>
    </row>
    <row r="175" spans="1:7" ht="12.9" customHeight="1">
      <c r="A175" s="1047"/>
      <c r="B175" s="277" t="s">
        <v>2373</v>
      </c>
      <c r="C175" s="277" t="s">
        <v>1713</v>
      </c>
      <c r="D175" s="277" t="s">
        <v>1714</v>
      </c>
      <c r="E175" s="278">
        <v>55000</v>
      </c>
      <c r="F175" s="392">
        <f t="shared" si="2"/>
        <v>55</v>
      </c>
      <c r="G175" s="279" t="s">
        <v>1706</v>
      </c>
    </row>
    <row r="176" spans="1:7" ht="12.9" customHeight="1">
      <c r="A176" s="1047"/>
      <c r="B176" s="1045" t="s">
        <v>2374</v>
      </c>
      <c r="C176" s="277" t="s">
        <v>1711</v>
      </c>
      <c r="D176" s="277" t="s">
        <v>1712</v>
      </c>
      <c r="E176" s="278">
        <v>325000</v>
      </c>
      <c r="F176" s="392">
        <f t="shared" si="2"/>
        <v>325</v>
      </c>
      <c r="G176" s="279" t="s">
        <v>1706</v>
      </c>
    </row>
    <row r="177" spans="1:7" ht="12.9" customHeight="1">
      <c r="A177" s="1047"/>
      <c r="B177" s="1045"/>
      <c r="C177" s="277" t="s">
        <v>1713</v>
      </c>
      <c r="D177" s="277" t="s">
        <v>1714</v>
      </c>
      <c r="E177" s="278">
        <v>56000</v>
      </c>
      <c r="F177" s="392">
        <f t="shared" si="2"/>
        <v>56</v>
      </c>
      <c r="G177" s="279" t="s">
        <v>1706</v>
      </c>
    </row>
    <row r="178" spans="1:7" ht="12.9" customHeight="1">
      <c r="A178" s="1047"/>
      <c r="B178" s="1045"/>
      <c r="C178" s="277" t="s">
        <v>2596</v>
      </c>
      <c r="D178" s="277" t="s">
        <v>2597</v>
      </c>
      <c r="E178" s="278">
        <v>83168</v>
      </c>
      <c r="F178" s="392">
        <f t="shared" si="2"/>
        <v>83.168000000000006</v>
      </c>
      <c r="G178" s="279" t="s">
        <v>1706</v>
      </c>
    </row>
    <row r="179" spans="1:7" ht="12.9" customHeight="1">
      <c r="A179" s="1047"/>
      <c r="B179" s="1045" t="s">
        <v>2375</v>
      </c>
      <c r="C179" s="277" t="s">
        <v>1713</v>
      </c>
      <c r="D179" s="277" t="s">
        <v>1714</v>
      </c>
      <c r="E179" s="278">
        <v>42000</v>
      </c>
      <c r="F179" s="392">
        <f t="shared" si="2"/>
        <v>42</v>
      </c>
      <c r="G179" s="279" t="s">
        <v>1706</v>
      </c>
    </row>
    <row r="180" spans="1:7" ht="26.1" customHeight="1">
      <c r="A180" s="1047"/>
      <c r="B180" s="1045"/>
      <c r="C180" s="277" t="s">
        <v>1715</v>
      </c>
      <c r="D180" s="277" t="s">
        <v>1716</v>
      </c>
      <c r="E180" s="278">
        <v>10000</v>
      </c>
      <c r="F180" s="392">
        <f t="shared" si="2"/>
        <v>10</v>
      </c>
      <c r="G180" s="279" t="s">
        <v>1706</v>
      </c>
    </row>
    <row r="181" spans="1:7" ht="12.9" customHeight="1">
      <c r="A181" s="1047"/>
      <c r="B181" s="277" t="s">
        <v>2376</v>
      </c>
      <c r="C181" s="277" t="s">
        <v>1713</v>
      </c>
      <c r="D181" s="277" t="s">
        <v>1714</v>
      </c>
      <c r="E181" s="278">
        <v>19000</v>
      </c>
      <c r="F181" s="392">
        <f t="shared" si="2"/>
        <v>19</v>
      </c>
      <c r="G181" s="279" t="s">
        <v>1706</v>
      </c>
    </row>
    <row r="182" spans="1:7" ht="12.9" customHeight="1">
      <c r="A182" s="1047"/>
      <c r="B182" s="1045" t="s">
        <v>2377</v>
      </c>
      <c r="C182" s="277" t="s">
        <v>1711</v>
      </c>
      <c r="D182" s="277" t="s">
        <v>1712</v>
      </c>
      <c r="E182" s="278">
        <v>88000</v>
      </c>
      <c r="F182" s="392">
        <f t="shared" si="2"/>
        <v>88</v>
      </c>
      <c r="G182" s="279" t="s">
        <v>1706</v>
      </c>
    </row>
    <row r="183" spans="1:7" ht="12.9" customHeight="1">
      <c r="A183" s="1047"/>
      <c r="B183" s="1045"/>
      <c r="C183" s="277" t="s">
        <v>1713</v>
      </c>
      <c r="D183" s="277" t="s">
        <v>1714</v>
      </c>
      <c r="E183" s="278">
        <v>36000</v>
      </c>
      <c r="F183" s="392">
        <f t="shared" si="2"/>
        <v>36</v>
      </c>
      <c r="G183" s="279" t="s">
        <v>1706</v>
      </c>
    </row>
    <row r="184" spans="1:7" ht="12.9" customHeight="1">
      <c r="A184" s="1039"/>
      <c r="B184" s="277" t="s">
        <v>2378</v>
      </c>
      <c r="C184" s="277" t="s">
        <v>1713</v>
      </c>
      <c r="D184" s="277" t="s">
        <v>1714</v>
      </c>
      <c r="E184" s="278">
        <v>48000</v>
      </c>
      <c r="F184" s="392">
        <f t="shared" si="2"/>
        <v>48</v>
      </c>
      <c r="G184" s="279" t="s">
        <v>1706</v>
      </c>
    </row>
    <row r="185" spans="1:7" ht="12.9" customHeight="1">
      <c r="A185" s="1043" t="s">
        <v>2371</v>
      </c>
      <c r="B185" s="1045" t="s">
        <v>2379</v>
      </c>
      <c r="C185" s="277" t="s">
        <v>1713</v>
      </c>
      <c r="D185" s="277" t="s">
        <v>1714</v>
      </c>
      <c r="E185" s="278">
        <v>20000</v>
      </c>
      <c r="F185" s="393">
        <f t="shared" si="2"/>
        <v>20</v>
      </c>
      <c r="G185" s="279" t="s">
        <v>1706</v>
      </c>
    </row>
    <row r="186" spans="1:7" ht="26.1" customHeight="1">
      <c r="A186" s="1047"/>
      <c r="B186" s="1045"/>
      <c r="C186" s="277" t="s">
        <v>1715</v>
      </c>
      <c r="D186" s="277" t="s">
        <v>1716</v>
      </c>
      <c r="E186" s="278">
        <v>10000</v>
      </c>
      <c r="F186" s="392">
        <f t="shared" si="2"/>
        <v>10</v>
      </c>
      <c r="G186" s="279" t="s">
        <v>1706</v>
      </c>
    </row>
    <row r="187" spans="1:7" ht="12.9" customHeight="1">
      <c r="A187" s="1047"/>
      <c r="B187" s="1045" t="s">
        <v>2380</v>
      </c>
      <c r="C187" s="277" t="s">
        <v>1711</v>
      </c>
      <c r="D187" s="277" t="s">
        <v>1712</v>
      </c>
      <c r="E187" s="278">
        <v>204000</v>
      </c>
      <c r="F187" s="392">
        <f t="shared" si="2"/>
        <v>204</v>
      </c>
      <c r="G187" s="279" t="s">
        <v>1706</v>
      </c>
    </row>
    <row r="188" spans="1:7" ht="12.9" customHeight="1">
      <c r="A188" s="1047"/>
      <c r="B188" s="1045"/>
      <c r="C188" s="277" t="s">
        <v>1713</v>
      </c>
      <c r="D188" s="277" t="s">
        <v>1714</v>
      </c>
      <c r="E188" s="278">
        <v>35000</v>
      </c>
      <c r="F188" s="392">
        <f t="shared" si="2"/>
        <v>35</v>
      </c>
      <c r="G188" s="279" t="s">
        <v>1706</v>
      </c>
    </row>
    <row r="189" spans="1:7" ht="26.1" customHeight="1">
      <c r="A189" s="1047"/>
      <c r="B189" s="1045"/>
      <c r="C189" s="277" t="s">
        <v>1715</v>
      </c>
      <c r="D189" s="277" t="s">
        <v>1716</v>
      </c>
      <c r="E189" s="278">
        <v>23000</v>
      </c>
      <c r="F189" s="392">
        <f t="shared" si="2"/>
        <v>23</v>
      </c>
      <c r="G189" s="279" t="s">
        <v>1706</v>
      </c>
    </row>
    <row r="190" spans="1:7" ht="12.9" customHeight="1">
      <c r="A190" s="1047"/>
      <c r="B190" s="277" t="s">
        <v>2381</v>
      </c>
      <c r="C190" s="277" t="s">
        <v>1713</v>
      </c>
      <c r="D190" s="277" t="s">
        <v>1714</v>
      </c>
      <c r="E190" s="278">
        <v>63000</v>
      </c>
      <c r="F190" s="392">
        <f t="shared" si="2"/>
        <v>63</v>
      </c>
      <c r="G190" s="279" t="s">
        <v>1706</v>
      </c>
    </row>
    <row r="191" spans="1:7" ht="12.9" customHeight="1">
      <c r="A191" s="1047"/>
      <c r="B191" s="277" t="s">
        <v>2382</v>
      </c>
      <c r="C191" s="277" t="s">
        <v>1713</v>
      </c>
      <c r="D191" s="277" t="s">
        <v>1714</v>
      </c>
      <c r="E191" s="278">
        <v>93000</v>
      </c>
      <c r="F191" s="392">
        <f t="shared" si="2"/>
        <v>93</v>
      </c>
      <c r="G191" s="279" t="s">
        <v>1706</v>
      </c>
    </row>
    <row r="192" spans="1:7" ht="12.9" customHeight="1">
      <c r="A192" s="1047"/>
      <c r="B192" s="277" t="s">
        <v>2383</v>
      </c>
      <c r="C192" s="277" t="s">
        <v>1713</v>
      </c>
      <c r="D192" s="277" t="s">
        <v>1714</v>
      </c>
      <c r="E192" s="278">
        <v>36000</v>
      </c>
      <c r="F192" s="392">
        <f t="shared" si="2"/>
        <v>36</v>
      </c>
      <c r="G192" s="279" t="s">
        <v>1706</v>
      </c>
    </row>
    <row r="193" spans="1:7" ht="12.9" customHeight="1">
      <c r="A193" s="1047"/>
      <c r="B193" s="1045" t="s">
        <v>2384</v>
      </c>
      <c r="C193" s="277" t="s">
        <v>1711</v>
      </c>
      <c r="D193" s="277" t="s">
        <v>1712</v>
      </c>
      <c r="E193" s="278">
        <v>190000</v>
      </c>
      <c r="F193" s="392">
        <f t="shared" si="2"/>
        <v>190</v>
      </c>
      <c r="G193" s="279" t="s">
        <v>1706</v>
      </c>
    </row>
    <row r="194" spans="1:7" ht="12.9" customHeight="1">
      <c r="A194" s="1047"/>
      <c r="B194" s="1045"/>
      <c r="C194" s="277" t="s">
        <v>1713</v>
      </c>
      <c r="D194" s="277" t="s">
        <v>1714</v>
      </c>
      <c r="E194" s="278">
        <v>20000</v>
      </c>
      <c r="F194" s="392">
        <f t="shared" si="2"/>
        <v>20</v>
      </c>
      <c r="G194" s="279" t="s">
        <v>1706</v>
      </c>
    </row>
    <row r="195" spans="1:7" ht="26.1" customHeight="1">
      <c r="A195" s="1047"/>
      <c r="B195" s="1045"/>
      <c r="C195" s="277" t="s">
        <v>1715</v>
      </c>
      <c r="D195" s="277" t="s">
        <v>1716</v>
      </c>
      <c r="E195" s="278">
        <v>10000</v>
      </c>
      <c r="F195" s="392">
        <f t="shared" si="2"/>
        <v>10</v>
      </c>
      <c r="G195" s="279" t="s">
        <v>1706</v>
      </c>
    </row>
    <row r="196" spans="1:7" ht="12.9" customHeight="1">
      <c r="A196" s="1047"/>
      <c r="B196" s="1045" t="s">
        <v>2385</v>
      </c>
      <c r="C196" s="277" t="s">
        <v>1711</v>
      </c>
      <c r="D196" s="277" t="s">
        <v>1712</v>
      </c>
      <c r="E196" s="278">
        <v>43000</v>
      </c>
      <c r="F196" s="392">
        <f t="shared" si="2"/>
        <v>43</v>
      </c>
      <c r="G196" s="279" t="s">
        <v>1706</v>
      </c>
    </row>
    <row r="197" spans="1:7" ht="12.9" customHeight="1">
      <c r="A197" s="1047"/>
      <c r="B197" s="1045"/>
      <c r="C197" s="277" t="s">
        <v>1713</v>
      </c>
      <c r="D197" s="277" t="s">
        <v>1714</v>
      </c>
      <c r="E197" s="278">
        <v>30000</v>
      </c>
      <c r="F197" s="392">
        <f t="shared" si="2"/>
        <v>30</v>
      </c>
      <c r="G197" s="279" t="s">
        <v>1706</v>
      </c>
    </row>
    <row r="198" spans="1:7" ht="39" customHeight="1">
      <c r="A198" s="1047"/>
      <c r="B198" s="1045"/>
      <c r="C198" s="277" t="s">
        <v>2598</v>
      </c>
      <c r="D198" s="277" t="s">
        <v>2599</v>
      </c>
      <c r="E198" s="278">
        <v>246000</v>
      </c>
      <c r="F198" s="392">
        <f t="shared" ref="F198:F261" si="3">E198/1000</f>
        <v>246</v>
      </c>
      <c r="G198" s="279" t="s">
        <v>1706</v>
      </c>
    </row>
    <row r="199" spans="1:7" ht="26.1" customHeight="1">
      <c r="A199" s="1047"/>
      <c r="B199" s="1045"/>
      <c r="C199" s="277" t="s">
        <v>1715</v>
      </c>
      <c r="D199" s="277" t="s">
        <v>1716</v>
      </c>
      <c r="E199" s="278">
        <v>11261.5</v>
      </c>
      <c r="F199" s="392">
        <f t="shared" si="3"/>
        <v>11.2615</v>
      </c>
      <c r="G199" s="279" t="s">
        <v>1706</v>
      </c>
    </row>
    <row r="200" spans="1:7" ht="26.1" customHeight="1">
      <c r="A200" s="1047"/>
      <c r="B200" s="1045"/>
      <c r="C200" s="277" t="s">
        <v>1717</v>
      </c>
      <c r="D200" s="277" t="s">
        <v>1718</v>
      </c>
      <c r="E200" s="278">
        <v>215248</v>
      </c>
      <c r="F200" s="392">
        <f t="shared" si="3"/>
        <v>215.24799999999999</v>
      </c>
      <c r="G200" s="279" t="s">
        <v>1706</v>
      </c>
    </row>
    <row r="201" spans="1:7" ht="12.9" customHeight="1">
      <c r="A201" s="1047"/>
      <c r="B201" s="1045" t="s">
        <v>2386</v>
      </c>
      <c r="C201" s="277" t="s">
        <v>1711</v>
      </c>
      <c r="D201" s="277" t="s">
        <v>1712</v>
      </c>
      <c r="E201" s="278">
        <v>33000</v>
      </c>
      <c r="F201" s="392">
        <f t="shared" si="3"/>
        <v>33</v>
      </c>
      <c r="G201" s="279" t="s">
        <v>1706</v>
      </c>
    </row>
    <row r="202" spans="1:7" ht="12.9" customHeight="1">
      <c r="A202" s="1047"/>
      <c r="B202" s="1045"/>
      <c r="C202" s="277" t="s">
        <v>1713</v>
      </c>
      <c r="D202" s="277" t="s">
        <v>1714</v>
      </c>
      <c r="E202" s="278">
        <v>43000</v>
      </c>
      <c r="F202" s="392">
        <f t="shared" si="3"/>
        <v>43</v>
      </c>
      <c r="G202" s="279" t="s">
        <v>1706</v>
      </c>
    </row>
    <row r="203" spans="1:7" ht="26.1" customHeight="1">
      <c r="A203" s="1047"/>
      <c r="B203" s="1045"/>
      <c r="C203" s="277" t="s">
        <v>1715</v>
      </c>
      <c r="D203" s="277" t="s">
        <v>1716</v>
      </c>
      <c r="E203" s="278">
        <v>10000</v>
      </c>
      <c r="F203" s="392">
        <f t="shared" si="3"/>
        <v>10</v>
      </c>
      <c r="G203" s="279" t="s">
        <v>1706</v>
      </c>
    </row>
    <row r="204" spans="1:7" ht="12.9" customHeight="1">
      <c r="A204" s="1047"/>
      <c r="B204" s="1045" t="s">
        <v>2387</v>
      </c>
      <c r="C204" s="277" t="s">
        <v>1711</v>
      </c>
      <c r="D204" s="277" t="s">
        <v>1712</v>
      </c>
      <c r="E204" s="278">
        <v>265000</v>
      </c>
      <c r="F204" s="392">
        <f t="shared" si="3"/>
        <v>265</v>
      </c>
      <c r="G204" s="279" t="s">
        <v>1706</v>
      </c>
    </row>
    <row r="205" spans="1:7" ht="12.9" customHeight="1">
      <c r="A205" s="1047"/>
      <c r="B205" s="1045"/>
      <c r="C205" s="277" t="s">
        <v>1713</v>
      </c>
      <c r="D205" s="277" t="s">
        <v>1714</v>
      </c>
      <c r="E205" s="278">
        <v>60000</v>
      </c>
      <c r="F205" s="392">
        <f t="shared" si="3"/>
        <v>60</v>
      </c>
      <c r="G205" s="279" t="s">
        <v>1706</v>
      </c>
    </row>
    <row r="206" spans="1:7" ht="12.9" customHeight="1">
      <c r="A206" s="1047"/>
      <c r="B206" s="1045" t="s">
        <v>2388</v>
      </c>
      <c r="C206" s="277" t="s">
        <v>1711</v>
      </c>
      <c r="D206" s="277" t="s">
        <v>1712</v>
      </c>
      <c r="E206" s="278">
        <v>238000</v>
      </c>
      <c r="F206" s="392">
        <f t="shared" si="3"/>
        <v>238</v>
      </c>
      <c r="G206" s="279" t="s">
        <v>1706</v>
      </c>
    </row>
    <row r="207" spans="1:7" ht="12.9" customHeight="1">
      <c r="A207" s="1047"/>
      <c r="B207" s="1045"/>
      <c r="C207" s="277" t="s">
        <v>1713</v>
      </c>
      <c r="D207" s="277" t="s">
        <v>1714</v>
      </c>
      <c r="E207" s="278">
        <v>64000</v>
      </c>
      <c r="F207" s="392">
        <f t="shared" si="3"/>
        <v>64</v>
      </c>
      <c r="G207" s="279" t="s">
        <v>1706</v>
      </c>
    </row>
    <row r="208" spans="1:7" ht="12.9" customHeight="1">
      <c r="A208" s="1047"/>
      <c r="B208" s="1045" t="s">
        <v>2389</v>
      </c>
      <c r="C208" s="277" t="s">
        <v>1711</v>
      </c>
      <c r="D208" s="277" t="s">
        <v>1712</v>
      </c>
      <c r="E208" s="278">
        <v>404000</v>
      </c>
      <c r="F208" s="392">
        <f t="shared" si="3"/>
        <v>404</v>
      </c>
      <c r="G208" s="279" t="s">
        <v>1706</v>
      </c>
    </row>
    <row r="209" spans="1:7" ht="12.9" customHeight="1">
      <c r="A209" s="1047"/>
      <c r="B209" s="1045"/>
      <c r="C209" s="277" t="s">
        <v>1713</v>
      </c>
      <c r="D209" s="277" t="s">
        <v>1714</v>
      </c>
      <c r="E209" s="278">
        <v>84000</v>
      </c>
      <c r="F209" s="392">
        <f t="shared" si="3"/>
        <v>84</v>
      </c>
      <c r="G209" s="279" t="s">
        <v>1706</v>
      </c>
    </row>
    <row r="210" spans="1:7" ht="12.9" customHeight="1">
      <c r="A210" s="1047"/>
      <c r="B210" s="1046" t="s">
        <v>2390</v>
      </c>
      <c r="C210" s="277" t="s">
        <v>1711</v>
      </c>
      <c r="D210" s="277" t="s">
        <v>1712</v>
      </c>
      <c r="E210" s="278">
        <v>141000</v>
      </c>
      <c r="F210" s="392">
        <f t="shared" si="3"/>
        <v>141</v>
      </c>
      <c r="G210" s="279" t="s">
        <v>1706</v>
      </c>
    </row>
    <row r="211" spans="1:7" ht="12.9" customHeight="1">
      <c r="A211" s="1047"/>
      <c r="B211" s="1054"/>
      <c r="C211" s="277" t="s">
        <v>1713</v>
      </c>
      <c r="D211" s="277" t="s">
        <v>1714</v>
      </c>
      <c r="E211" s="278">
        <v>77000</v>
      </c>
      <c r="F211" s="392">
        <f t="shared" si="3"/>
        <v>77</v>
      </c>
      <c r="G211" s="279" t="s">
        <v>1706</v>
      </c>
    </row>
    <row r="212" spans="1:7" ht="12.9" customHeight="1">
      <c r="A212" s="1047"/>
      <c r="B212" s="1054"/>
      <c r="C212" s="277" t="s">
        <v>2596</v>
      </c>
      <c r="D212" s="277" t="s">
        <v>2597</v>
      </c>
      <c r="E212" s="278">
        <v>26680</v>
      </c>
      <c r="F212" s="392">
        <f t="shared" si="3"/>
        <v>26.68</v>
      </c>
      <c r="G212" s="279" t="s">
        <v>1706</v>
      </c>
    </row>
    <row r="213" spans="1:7" ht="39" customHeight="1">
      <c r="A213" s="1047"/>
      <c r="B213" s="1055"/>
      <c r="C213" s="277">
        <v>39</v>
      </c>
      <c r="D213" s="291" t="s">
        <v>2600</v>
      </c>
      <c r="E213" s="278">
        <v>61750</v>
      </c>
      <c r="F213" s="278">
        <f t="shared" si="3"/>
        <v>61.75</v>
      </c>
      <c r="G213" s="293" t="s">
        <v>1706</v>
      </c>
    </row>
    <row r="214" spans="1:7" ht="12.9" customHeight="1">
      <c r="A214" s="1047"/>
      <c r="B214" s="1045" t="s">
        <v>2391</v>
      </c>
      <c r="C214" s="277" t="s">
        <v>1711</v>
      </c>
      <c r="D214" s="277" t="s">
        <v>1712</v>
      </c>
      <c r="E214" s="278">
        <v>326000</v>
      </c>
      <c r="F214" s="392">
        <f t="shared" si="3"/>
        <v>326</v>
      </c>
      <c r="G214" s="279" t="s">
        <v>1706</v>
      </c>
    </row>
    <row r="215" spans="1:7" ht="12.9" customHeight="1">
      <c r="A215" s="1047"/>
      <c r="B215" s="1045"/>
      <c r="C215" s="277" t="s">
        <v>1713</v>
      </c>
      <c r="D215" s="277" t="s">
        <v>1714</v>
      </c>
      <c r="E215" s="278">
        <v>36000</v>
      </c>
      <c r="F215" s="392">
        <f t="shared" si="3"/>
        <v>36</v>
      </c>
      <c r="G215" s="279" t="s">
        <v>1706</v>
      </c>
    </row>
    <row r="216" spans="1:7" ht="12.9" customHeight="1">
      <c r="A216" s="1047"/>
      <c r="B216" s="1045" t="s">
        <v>2392</v>
      </c>
      <c r="C216" s="277" t="s">
        <v>1711</v>
      </c>
      <c r="D216" s="277" t="s">
        <v>1712</v>
      </c>
      <c r="E216" s="278">
        <v>930000</v>
      </c>
      <c r="F216" s="392">
        <f t="shared" si="3"/>
        <v>930</v>
      </c>
      <c r="G216" s="279" t="s">
        <v>1706</v>
      </c>
    </row>
    <row r="217" spans="1:7" ht="12.9" customHeight="1">
      <c r="A217" s="1047"/>
      <c r="B217" s="1045"/>
      <c r="C217" s="277" t="s">
        <v>1713</v>
      </c>
      <c r="D217" s="277" t="s">
        <v>1714</v>
      </c>
      <c r="E217" s="278">
        <v>73000</v>
      </c>
      <c r="F217" s="392">
        <f t="shared" si="3"/>
        <v>73</v>
      </c>
      <c r="G217" s="279" t="s">
        <v>1706</v>
      </c>
    </row>
    <row r="218" spans="1:7" ht="12.9" customHeight="1">
      <c r="A218" s="1047"/>
      <c r="B218" s="277" t="s">
        <v>2393</v>
      </c>
      <c r="C218" s="277" t="s">
        <v>1713</v>
      </c>
      <c r="D218" s="277" t="s">
        <v>1714</v>
      </c>
      <c r="E218" s="278">
        <v>44000</v>
      </c>
      <c r="F218" s="392">
        <f t="shared" si="3"/>
        <v>44</v>
      </c>
      <c r="G218" s="279" t="s">
        <v>1706</v>
      </c>
    </row>
    <row r="219" spans="1:7" ht="12.9" customHeight="1">
      <c r="A219" s="1047"/>
      <c r="B219" s="1045" t="s">
        <v>2394</v>
      </c>
      <c r="C219" s="277" t="s">
        <v>1711</v>
      </c>
      <c r="D219" s="277" t="s">
        <v>1712</v>
      </c>
      <c r="E219" s="278">
        <v>511000</v>
      </c>
      <c r="F219" s="392">
        <f t="shared" si="3"/>
        <v>511</v>
      </c>
      <c r="G219" s="279" t="s">
        <v>1706</v>
      </c>
    </row>
    <row r="220" spans="1:7" ht="12.9" customHeight="1">
      <c r="A220" s="1047"/>
      <c r="B220" s="1045"/>
      <c r="C220" s="277" t="s">
        <v>1713</v>
      </c>
      <c r="D220" s="277" t="s">
        <v>1714</v>
      </c>
      <c r="E220" s="278">
        <v>30000</v>
      </c>
      <c r="F220" s="392">
        <f t="shared" si="3"/>
        <v>30</v>
      </c>
      <c r="G220" s="279" t="s">
        <v>1706</v>
      </c>
    </row>
    <row r="221" spans="1:7" ht="12.9" customHeight="1">
      <c r="A221" s="1047"/>
      <c r="B221" s="1045" t="s">
        <v>2395</v>
      </c>
      <c r="C221" s="277" t="s">
        <v>1711</v>
      </c>
      <c r="D221" s="277" t="s">
        <v>1712</v>
      </c>
      <c r="E221" s="278">
        <v>211000</v>
      </c>
      <c r="F221" s="392">
        <f t="shared" si="3"/>
        <v>211</v>
      </c>
      <c r="G221" s="279" t="s">
        <v>1706</v>
      </c>
    </row>
    <row r="222" spans="1:7" ht="12.9" customHeight="1">
      <c r="A222" s="1047"/>
      <c r="B222" s="1045"/>
      <c r="C222" s="277" t="s">
        <v>1713</v>
      </c>
      <c r="D222" s="277" t="s">
        <v>1714</v>
      </c>
      <c r="E222" s="278">
        <v>19000</v>
      </c>
      <c r="F222" s="392">
        <f t="shared" si="3"/>
        <v>19</v>
      </c>
      <c r="G222" s="279" t="s">
        <v>1706</v>
      </c>
    </row>
    <row r="223" spans="1:7" ht="12.9" customHeight="1">
      <c r="A223" s="1047"/>
      <c r="B223" s="1045" t="s">
        <v>2396</v>
      </c>
      <c r="C223" s="277" t="s">
        <v>1711</v>
      </c>
      <c r="D223" s="277" t="s">
        <v>1712</v>
      </c>
      <c r="E223" s="278">
        <v>113000</v>
      </c>
      <c r="F223" s="392">
        <f t="shared" si="3"/>
        <v>113</v>
      </c>
      <c r="G223" s="279" t="s">
        <v>1706</v>
      </c>
    </row>
    <row r="224" spans="1:7" ht="12.9" customHeight="1">
      <c r="A224" s="1047"/>
      <c r="B224" s="1045"/>
      <c r="C224" s="277" t="s">
        <v>1713</v>
      </c>
      <c r="D224" s="277" t="s">
        <v>1714</v>
      </c>
      <c r="E224" s="278">
        <v>22000</v>
      </c>
      <c r="F224" s="392">
        <f t="shared" si="3"/>
        <v>22</v>
      </c>
      <c r="G224" s="279" t="s">
        <v>1706</v>
      </c>
    </row>
    <row r="225" spans="1:7" ht="26.1" customHeight="1">
      <c r="A225" s="1047"/>
      <c r="B225" s="1045"/>
      <c r="C225" s="277" t="s">
        <v>1715</v>
      </c>
      <c r="D225" s="277" t="s">
        <v>1716</v>
      </c>
      <c r="E225" s="278">
        <v>14000</v>
      </c>
      <c r="F225" s="392">
        <f t="shared" si="3"/>
        <v>14</v>
      </c>
      <c r="G225" s="279" t="s">
        <v>1706</v>
      </c>
    </row>
    <row r="226" spans="1:7" ht="12.9" customHeight="1">
      <c r="A226" s="1047"/>
      <c r="B226" s="1045" t="s">
        <v>2397</v>
      </c>
      <c r="C226" s="277" t="s">
        <v>1713</v>
      </c>
      <c r="D226" s="277" t="s">
        <v>1714</v>
      </c>
      <c r="E226" s="278">
        <v>23200</v>
      </c>
      <c r="F226" s="392">
        <f t="shared" si="3"/>
        <v>23.2</v>
      </c>
      <c r="G226" s="279" t="s">
        <v>1706</v>
      </c>
    </row>
    <row r="227" spans="1:7" ht="26.1" customHeight="1">
      <c r="A227" s="1047"/>
      <c r="B227" s="1045"/>
      <c r="C227" s="277" t="s">
        <v>1715</v>
      </c>
      <c r="D227" s="277" t="s">
        <v>1716</v>
      </c>
      <c r="E227" s="278">
        <v>12000</v>
      </c>
      <c r="F227" s="392">
        <f t="shared" si="3"/>
        <v>12</v>
      </c>
      <c r="G227" s="279" t="s">
        <v>1706</v>
      </c>
    </row>
    <row r="228" spans="1:7" ht="12.9" customHeight="1">
      <c r="A228" s="1047"/>
      <c r="B228" s="277" t="s">
        <v>2398</v>
      </c>
      <c r="C228" s="277" t="s">
        <v>1711</v>
      </c>
      <c r="D228" s="277" t="s">
        <v>1712</v>
      </c>
      <c r="E228" s="278">
        <v>204000</v>
      </c>
      <c r="F228" s="392">
        <f t="shared" si="3"/>
        <v>204</v>
      </c>
      <c r="G228" s="279" t="s">
        <v>1706</v>
      </c>
    </row>
    <row r="229" spans="1:7" ht="12.9" customHeight="1">
      <c r="A229" s="1047"/>
      <c r="B229" s="277" t="s">
        <v>2403</v>
      </c>
      <c r="C229" s="277" t="s">
        <v>1711</v>
      </c>
      <c r="D229" s="277" t="s">
        <v>1712</v>
      </c>
      <c r="E229" s="278">
        <v>124000</v>
      </c>
      <c r="F229" s="392">
        <f t="shared" si="3"/>
        <v>124</v>
      </c>
      <c r="G229" s="279" t="s">
        <v>1706</v>
      </c>
    </row>
    <row r="230" spans="1:7" ht="12.9" customHeight="1">
      <c r="A230" s="1047"/>
      <c r="B230" s="277" t="s">
        <v>2410</v>
      </c>
      <c r="C230" s="277" t="s">
        <v>1711</v>
      </c>
      <c r="D230" s="277" t="s">
        <v>1712</v>
      </c>
      <c r="E230" s="278">
        <v>204000</v>
      </c>
      <c r="F230" s="392">
        <f t="shared" si="3"/>
        <v>204</v>
      </c>
      <c r="G230" s="279" t="s">
        <v>1706</v>
      </c>
    </row>
    <row r="231" spans="1:7" ht="12.9" customHeight="1">
      <c r="A231" s="1047"/>
      <c r="B231" s="277" t="s">
        <v>2411</v>
      </c>
      <c r="C231" s="277" t="s">
        <v>1711</v>
      </c>
      <c r="D231" s="277" t="s">
        <v>1712</v>
      </c>
      <c r="E231" s="278">
        <v>245000</v>
      </c>
      <c r="F231" s="392">
        <f t="shared" si="3"/>
        <v>245</v>
      </c>
      <c r="G231" s="279" t="s">
        <v>1706</v>
      </c>
    </row>
    <row r="232" spans="1:7" ht="12.9" customHeight="1">
      <c r="A232" s="1047"/>
      <c r="B232" s="277" t="s">
        <v>2419</v>
      </c>
      <c r="C232" s="277" t="s">
        <v>1711</v>
      </c>
      <c r="D232" s="277" t="s">
        <v>1712</v>
      </c>
      <c r="E232" s="278">
        <v>48000</v>
      </c>
      <c r="F232" s="392">
        <f t="shared" si="3"/>
        <v>48</v>
      </c>
      <c r="G232" s="279" t="s">
        <v>1706</v>
      </c>
    </row>
    <row r="233" spans="1:7" ht="12.9" customHeight="1">
      <c r="A233" s="1047"/>
      <c r="B233" s="277" t="s">
        <v>2422</v>
      </c>
      <c r="C233" s="277" t="s">
        <v>1711</v>
      </c>
      <c r="D233" s="277" t="s">
        <v>1712</v>
      </c>
      <c r="E233" s="278">
        <v>401000</v>
      </c>
      <c r="F233" s="392">
        <f t="shared" si="3"/>
        <v>401</v>
      </c>
      <c r="G233" s="279" t="s">
        <v>1706</v>
      </c>
    </row>
    <row r="234" spans="1:7" ht="12.9" customHeight="1">
      <c r="A234" s="1047"/>
      <c r="B234" s="277" t="s">
        <v>2426</v>
      </c>
      <c r="C234" s="277" t="s">
        <v>1711</v>
      </c>
      <c r="D234" s="277" t="s">
        <v>1712</v>
      </c>
      <c r="E234" s="278">
        <v>816000</v>
      </c>
      <c r="F234" s="392">
        <f t="shared" si="3"/>
        <v>816</v>
      </c>
      <c r="G234" s="279" t="s">
        <v>1706</v>
      </c>
    </row>
    <row r="235" spans="1:7" ht="12.9" customHeight="1">
      <c r="A235" s="1047"/>
      <c r="B235" s="277" t="s">
        <v>2429</v>
      </c>
      <c r="C235" s="277" t="s">
        <v>1711</v>
      </c>
      <c r="D235" s="277" t="s">
        <v>1712</v>
      </c>
      <c r="E235" s="278">
        <v>109000</v>
      </c>
      <c r="F235" s="392">
        <f t="shared" si="3"/>
        <v>109</v>
      </c>
      <c r="G235" s="279" t="s">
        <v>1706</v>
      </c>
    </row>
    <row r="236" spans="1:7" ht="12.9" customHeight="1">
      <c r="A236" s="1039"/>
      <c r="B236" s="277" t="s">
        <v>2438</v>
      </c>
      <c r="C236" s="277" t="s">
        <v>1711</v>
      </c>
      <c r="D236" s="277" t="s">
        <v>1712</v>
      </c>
      <c r="E236" s="278">
        <v>148000</v>
      </c>
      <c r="F236" s="392">
        <f t="shared" si="3"/>
        <v>148</v>
      </c>
      <c r="G236" s="279" t="s">
        <v>1706</v>
      </c>
    </row>
    <row r="237" spans="1:7" ht="12.9" customHeight="1">
      <c r="A237" s="1081" t="s">
        <v>2439</v>
      </c>
      <c r="B237" s="277" t="s">
        <v>2441</v>
      </c>
      <c r="C237" s="277" t="s">
        <v>1713</v>
      </c>
      <c r="D237" s="277" t="s">
        <v>1714</v>
      </c>
      <c r="E237" s="278">
        <v>15000</v>
      </c>
      <c r="F237" s="393">
        <f t="shared" si="3"/>
        <v>15</v>
      </c>
      <c r="G237" s="279" t="s">
        <v>1706</v>
      </c>
    </row>
    <row r="238" spans="1:7" ht="12.9" customHeight="1">
      <c r="A238" s="1082"/>
      <c r="B238" s="277" t="s">
        <v>2442</v>
      </c>
      <c r="C238" s="277" t="s">
        <v>1713</v>
      </c>
      <c r="D238" s="277" t="s">
        <v>1714</v>
      </c>
      <c r="E238" s="278">
        <v>7000</v>
      </c>
      <c r="F238" s="392">
        <f t="shared" si="3"/>
        <v>7</v>
      </c>
      <c r="G238" s="279" t="s">
        <v>1706</v>
      </c>
    </row>
    <row r="239" spans="1:7" ht="12.9" customHeight="1">
      <c r="A239" s="1043" t="s">
        <v>2439</v>
      </c>
      <c r="B239" s="1045" t="s">
        <v>2443</v>
      </c>
      <c r="C239" s="277" t="s">
        <v>1711</v>
      </c>
      <c r="D239" s="277" t="s">
        <v>1712</v>
      </c>
      <c r="E239" s="278">
        <v>163000</v>
      </c>
      <c r="F239" s="393">
        <f t="shared" si="3"/>
        <v>163</v>
      </c>
      <c r="G239" s="279" t="s">
        <v>1706</v>
      </c>
    </row>
    <row r="240" spans="1:7" ht="12.9" customHeight="1">
      <c r="A240" s="1047"/>
      <c r="B240" s="1045"/>
      <c r="C240" s="277" t="s">
        <v>1713</v>
      </c>
      <c r="D240" s="277" t="s">
        <v>1714</v>
      </c>
      <c r="E240" s="278">
        <v>17000</v>
      </c>
      <c r="F240" s="392">
        <f t="shared" si="3"/>
        <v>17</v>
      </c>
      <c r="G240" s="279" t="s">
        <v>1706</v>
      </c>
    </row>
    <row r="241" spans="1:7" ht="12.9" customHeight="1">
      <c r="A241" s="1047"/>
      <c r="B241" s="277" t="s">
        <v>2445</v>
      </c>
      <c r="C241" s="277" t="s">
        <v>1713</v>
      </c>
      <c r="D241" s="277" t="s">
        <v>1714</v>
      </c>
      <c r="E241" s="278">
        <v>4000</v>
      </c>
      <c r="F241" s="392">
        <f t="shared" si="3"/>
        <v>4</v>
      </c>
      <c r="G241" s="279" t="s">
        <v>1706</v>
      </c>
    </row>
    <row r="242" spans="1:7" ht="12.9" customHeight="1">
      <c r="A242" s="1047"/>
      <c r="B242" s="277" t="s">
        <v>2446</v>
      </c>
      <c r="C242" s="277" t="s">
        <v>1713</v>
      </c>
      <c r="D242" s="277" t="s">
        <v>1714</v>
      </c>
      <c r="E242" s="278">
        <v>19000</v>
      </c>
      <c r="F242" s="392">
        <f t="shared" si="3"/>
        <v>19</v>
      </c>
      <c r="G242" s="279" t="s">
        <v>1706</v>
      </c>
    </row>
    <row r="243" spans="1:7" ht="12.9" customHeight="1">
      <c r="A243" s="1047"/>
      <c r="B243" s="1045" t="s">
        <v>2449</v>
      </c>
      <c r="C243" s="277" t="s">
        <v>1711</v>
      </c>
      <c r="D243" s="277" t="s">
        <v>1712</v>
      </c>
      <c r="E243" s="278">
        <v>415000</v>
      </c>
      <c r="F243" s="392">
        <f t="shared" si="3"/>
        <v>415</v>
      </c>
      <c r="G243" s="279" t="s">
        <v>1706</v>
      </c>
    </row>
    <row r="244" spans="1:7" ht="12.9" customHeight="1">
      <c r="A244" s="1047"/>
      <c r="B244" s="1045"/>
      <c r="C244" s="277" t="s">
        <v>1713</v>
      </c>
      <c r="D244" s="277" t="s">
        <v>1714</v>
      </c>
      <c r="E244" s="278">
        <v>81000</v>
      </c>
      <c r="F244" s="392">
        <f t="shared" si="3"/>
        <v>81</v>
      </c>
      <c r="G244" s="279" t="s">
        <v>1706</v>
      </c>
    </row>
    <row r="245" spans="1:7" ht="12.9" customHeight="1">
      <c r="A245" s="1047"/>
      <c r="B245" s="1045" t="s">
        <v>2452</v>
      </c>
      <c r="C245" s="277" t="s">
        <v>1711</v>
      </c>
      <c r="D245" s="277" t="s">
        <v>1712</v>
      </c>
      <c r="E245" s="278">
        <v>313000</v>
      </c>
      <c r="F245" s="392">
        <f t="shared" si="3"/>
        <v>313</v>
      </c>
      <c r="G245" s="279" t="s">
        <v>1706</v>
      </c>
    </row>
    <row r="246" spans="1:7" ht="12.9" customHeight="1">
      <c r="A246" s="1047"/>
      <c r="B246" s="1045"/>
      <c r="C246" s="277" t="s">
        <v>1713</v>
      </c>
      <c r="D246" s="277" t="s">
        <v>1714</v>
      </c>
      <c r="E246" s="278">
        <v>4000</v>
      </c>
      <c r="F246" s="392">
        <f t="shared" si="3"/>
        <v>4</v>
      </c>
      <c r="G246" s="279" t="s">
        <v>1706</v>
      </c>
    </row>
    <row r="247" spans="1:7" ht="12.9" customHeight="1">
      <c r="A247" s="1047"/>
      <c r="B247" s="277" t="s">
        <v>2456</v>
      </c>
      <c r="C247" s="277" t="s">
        <v>1713</v>
      </c>
      <c r="D247" s="277" t="s">
        <v>1714</v>
      </c>
      <c r="E247" s="278">
        <v>2000</v>
      </c>
      <c r="F247" s="392">
        <f t="shared" si="3"/>
        <v>2</v>
      </c>
      <c r="G247" s="279" t="s">
        <v>1706</v>
      </c>
    </row>
    <row r="248" spans="1:7" ht="12.9" customHeight="1">
      <c r="A248" s="1047"/>
      <c r="B248" s="1045" t="s">
        <v>2457</v>
      </c>
      <c r="C248" s="277" t="s">
        <v>1711</v>
      </c>
      <c r="D248" s="277" t="s">
        <v>1712</v>
      </c>
      <c r="E248" s="278">
        <v>132000</v>
      </c>
      <c r="F248" s="392">
        <f t="shared" si="3"/>
        <v>132</v>
      </c>
      <c r="G248" s="279" t="s">
        <v>1706</v>
      </c>
    </row>
    <row r="249" spans="1:7" ht="12.9" customHeight="1">
      <c r="A249" s="1039"/>
      <c r="B249" s="1045"/>
      <c r="C249" s="277" t="s">
        <v>1713</v>
      </c>
      <c r="D249" s="277" t="s">
        <v>1714</v>
      </c>
      <c r="E249" s="278">
        <v>41000</v>
      </c>
      <c r="F249" s="392">
        <f t="shared" si="3"/>
        <v>41</v>
      </c>
      <c r="G249" s="279" t="s">
        <v>1706</v>
      </c>
    </row>
    <row r="250" spans="1:7" ht="12.9" customHeight="1">
      <c r="A250" s="1041" t="s">
        <v>2459</v>
      </c>
      <c r="B250" s="277" t="s">
        <v>2460</v>
      </c>
      <c r="C250" s="277" t="s">
        <v>1713</v>
      </c>
      <c r="D250" s="277" t="s">
        <v>1714</v>
      </c>
      <c r="E250" s="278">
        <v>20000</v>
      </c>
      <c r="F250" s="393">
        <f t="shared" si="3"/>
        <v>20</v>
      </c>
      <c r="G250" s="279" t="s">
        <v>1706</v>
      </c>
    </row>
    <row r="251" spans="1:7" ht="12.9" customHeight="1">
      <c r="A251" s="1041"/>
      <c r="B251" s="1045" t="s">
        <v>2461</v>
      </c>
      <c r="C251" s="277" t="s">
        <v>1713</v>
      </c>
      <c r="D251" s="277" t="s">
        <v>1714</v>
      </c>
      <c r="E251" s="278">
        <v>13000</v>
      </c>
      <c r="F251" s="392">
        <f t="shared" si="3"/>
        <v>13</v>
      </c>
      <c r="G251" s="279" t="s">
        <v>1706</v>
      </c>
    </row>
    <row r="252" spans="1:7" ht="26.1" customHeight="1">
      <c r="A252" s="1041"/>
      <c r="B252" s="1045"/>
      <c r="C252" s="277" t="s">
        <v>1715</v>
      </c>
      <c r="D252" s="277" t="s">
        <v>1716</v>
      </c>
      <c r="E252" s="278">
        <v>14000</v>
      </c>
      <c r="F252" s="392">
        <f t="shared" si="3"/>
        <v>14</v>
      </c>
      <c r="G252" s="279" t="s">
        <v>1706</v>
      </c>
    </row>
    <row r="253" spans="1:7" ht="12.9" customHeight="1">
      <c r="A253" s="1041"/>
      <c r="B253" s="1045" t="s">
        <v>2463</v>
      </c>
      <c r="C253" s="277" t="s">
        <v>1711</v>
      </c>
      <c r="D253" s="277" t="s">
        <v>1712</v>
      </c>
      <c r="E253" s="278">
        <v>12000</v>
      </c>
      <c r="F253" s="392">
        <f t="shared" si="3"/>
        <v>12</v>
      </c>
      <c r="G253" s="279" t="s">
        <v>1706</v>
      </c>
    </row>
    <row r="254" spans="1:7" ht="12.9" customHeight="1">
      <c r="A254" s="1041"/>
      <c r="B254" s="1045"/>
      <c r="C254" s="277" t="s">
        <v>1713</v>
      </c>
      <c r="D254" s="277" t="s">
        <v>1714</v>
      </c>
      <c r="E254" s="278">
        <v>6000</v>
      </c>
      <c r="F254" s="392">
        <f t="shared" si="3"/>
        <v>6</v>
      </c>
      <c r="G254" s="279" t="s">
        <v>1706</v>
      </c>
    </row>
    <row r="255" spans="1:7" ht="26.1" customHeight="1">
      <c r="A255" s="1041"/>
      <c r="B255" s="1045"/>
      <c r="C255" s="277" t="s">
        <v>1715</v>
      </c>
      <c r="D255" s="277" t="s">
        <v>1716</v>
      </c>
      <c r="E255" s="278">
        <v>17000</v>
      </c>
      <c r="F255" s="392">
        <f t="shared" si="3"/>
        <v>17</v>
      </c>
      <c r="G255" s="279" t="s">
        <v>1706</v>
      </c>
    </row>
    <row r="256" spans="1:7" ht="26.1" customHeight="1">
      <c r="A256" s="1041"/>
      <c r="B256" s="1045"/>
      <c r="C256" s="277" t="s">
        <v>1717</v>
      </c>
      <c r="D256" s="277" t="s">
        <v>1718</v>
      </c>
      <c r="E256" s="278">
        <v>70130</v>
      </c>
      <c r="F256" s="392">
        <f t="shared" si="3"/>
        <v>70.13</v>
      </c>
      <c r="G256" s="279" t="s">
        <v>1706</v>
      </c>
    </row>
    <row r="257" spans="1:7" ht="12.9" customHeight="1">
      <c r="A257" s="1041"/>
      <c r="B257" s="277" t="s">
        <v>2464</v>
      </c>
      <c r="C257" s="277" t="s">
        <v>1713</v>
      </c>
      <c r="D257" s="277" t="s">
        <v>1714</v>
      </c>
      <c r="E257" s="278">
        <v>9000</v>
      </c>
      <c r="F257" s="392">
        <f t="shared" si="3"/>
        <v>9</v>
      </c>
      <c r="G257" s="279" t="s">
        <v>1706</v>
      </c>
    </row>
    <row r="258" spans="1:7" ht="12.9" customHeight="1">
      <c r="A258" s="1041"/>
      <c r="B258" s="1045" t="s">
        <v>2465</v>
      </c>
      <c r="C258" s="277" t="s">
        <v>1711</v>
      </c>
      <c r="D258" s="277" t="s">
        <v>1712</v>
      </c>
      <c r="E258" s="278">
        <v>384000</v>
      </c>
      <c r="F258" s="392">
        <f t="shared" si="3"/>
        <v>384</v>
      </c>
      <c r="G258" s="279" t="s">
        <v>1706</v>
      </c>
    </row>
    <row r="259" spans="1:7" ht="12.9" customHeight="1">
      <c r="A259" s="1041"/>
      <c r="B259" s="1045"/>
      <c r="C259" s="277" t="s">
        <v>1713</v>
      </c>
      <c r="D259" s="277" t="s">
        <v>1714</v>
      </c>
      <c r="E259" s="278">
        <v>24000</v>
      </c>
      <c r="F259" s="392">
        <f t="shared" si="3"/>
        <v>24</v>
      </c>
      <c r="G259" s="279" t="s">
        <v>1706</v>
      </c>
    </row>
    <row r="260" spans="1:7" ht="12.9" customHeight="1">
      <c r="A260" s="1041"/>
      <c r="B260" s="1045" t="s">
        <v>2466</v>
      </c>
      <c r="C260" s="277" t="s">
        <v>1711</v>
      </c>
      <c r="D260" s="277" t="s">
        <v>1712</v>
      </c>
      <c r="E260" s="278">
        <v>8000</v>
      </c>
      <c r="F260" s="392">
        <f t="shared" si="3"/>
        <v>8</v>
      </c>
      <c r="G260" s="279" t="s">
        <v>1706</v>
      </c>
    </row>
    <row r="261" spans="1:7" ht="12.9" customHeight="1">
      <c r="A261" s="1041"/>
      <c r="B261" s="1045"/>
      <c r="C261" s="277" t="s">
        <v>1713</v>
      </c>
      <c r="D261" s="277" t="s">
        <v>1714</v>
      </c>
      <c r="E261" s="278">
        <v>6000</v>
      </c>
      <c r="F261" s="392">
        <f t="shared" si="3"/>
        <v>6</v>
      </c>
      <c r="G261" s="279" t="s">
        <v>1706</v>
      </c>
    </row>
    <row r="262" spans="1:7" ht="12.9" customHeight="1">
      <c r="A262" s="1041"/>
      <c r="B262" s="277" t="s">
        <v>2467</v>
      </c>
      <c r="C262" s="277" t="s">
        <v>1713</v>
      </c>
      <c r="D262" s="277" t="s">
        <v>1714</v>
      </c>
      <c r="E262" s="278">
        <v>3000</v>
      </c>
      <c r="F262" s="392">
        <f t="shared" ref="F262:F325" si="4">E262/1000</f>
        <v>3</v>
      </c>
      <c r="G262" s="279" t="s">
        <v>1706</v>
      </c>
    </row>
    <row r="263" spans="1:7" ht="12.9" customHeight="1">
      <c r="A263" s="1041"/>
      <c r="B263" s="1045" t="s">
        <v>2469</v>
      </c>
      <c r="C263" s="277" t="s">
        <v>1711</v>
      </c>
      <c r="D263" s="277" t="s">
        <v>1712</v>
      </c>
      <c r="E263" s="278">
        <v>539000</v>
      </c>
      <c r="F263" s="392">
        <f t="shared" si="4"/>
        <v>539</v>
      </c>
      <c r="G263" s="279" t="s">
        <v>1706</v>
      </c>
    </row>
    <row r="264" spans="1:7" ht="12.9" customHeight="1">
      <c r="A264" s="1041"/>
      <c r="B264" s="1045"/>
      <c r="C264" s="277" t="s">
        <v>1713</v>
      </c>
      <c r="D264" s="277" t="s">
        <v>1714</v>
      </c>
      <c r="E264" s="278">
        <v>21000</v>
      </c>
      <c r="F264" s="392">
        <f t="shared" si="4"/>
        <v>21</v>
      </c>
      <c r="G264" s="279" t="s">
        <v>1706</v>
      </c>
    </row>
    <row r="265" spans="1:7" ht="12.9" customHeight="1">
      <c r="A265" s="1041"/>
      <c r="B265" s="1045" t="s">
        <v>2470</v>
      </c>
      <c r="C265" s="277" t="s">
        <v>1711</v>
      </c>
      <c r="D265" s="277" t="s">
        <v>1712</v>
      </c>
      <c r="E265" s="278">
        <v>129000</v>
      </c>
      <c r="F265" s="392">
        <f t="shared" si="4"/>
        <v>129</v>
      </c>
      <c r="G265" s="279" t="s">
        <v>1706</v>
      </c>
    </row>
    <row r="266" spans="1:7" ht="12.9" customHeight="1">
      <c r="A266" s="1041"/>
      <c r="B266" s="1045"/>
      <c r="C266" s="277" t="s">
        <v>1713</v>
      </c>
      <c r="D266" s="277" t="s">
        <v>1714</v>
      </c>
      <c r="E266" s="278">
        <v>8000</v>
      </c>
      <c r="F266" s="392">
        <f t="shared" si="4"/>
        <v>8</v>
      </c>
      <c r="G266" s="279" t="s">
        <v>1706</v>
      </c>
    </row>
    <row r="267" spans="1:7" ht="12.9" customHeight="1">
      <c r="A267" s="1041"/>
      <c r="B267" s="1045" t="s">
        <v>2471</v>
      </c>
      <c r="C267" s="277" t="s">
        <v>1713</v>
      </c>
      <c r="D267" s="277" t="s">
        <v>1714</v>
      </c>
      <c r="E267" s="278">
        <v>13000</v>
      </c>
      <c r="F267" s="392">
        <f t="shared" si="4"/>
        <v>13</v>
      </c>
      <c r="G267" s="279" t="s">
        <v>1706</v>
      </c>
    </row>
    <row r="268" spans="1:7" ht="26.1" customHeight="1">
      <c r="A268" s="1041"/>
      <c r="B268" s="1045"/>
      <c r="C268" s="277" t="s">
        <v>1715</v>
      </c>
      <c r="D268" s="277" t="s">
        <v>1716</v>
      </c>
      <c r="E268" s="278">
        <v>15000</v>
      </c>
      <c r="F268" s="392">
        <f t="shared" si="4"/>
        <v>15</v>
      </c>
      <c r="G268" s="279" t="s">
        <v>1706</v>
      </c>
    </row>
    <row r="269" spans="1:7" ht="12.9" customHeight="1">
      <c r="A269" s="1041"/>
      <c r="B269" s="277" t="s">
        <v>2473</v>
      </c>
      <c r="C269" s="277" t="s">
        <v>1711</v>
      </c>
      <c r="D269" s="277" t="s">
        <v>1712</v>
      </c>
      <c r="E269" s="278">
        <v>137000</v>
      </c>
      <c r="F269" s="392">
        <f t="shared" si="4"/>
        <v>137</v>
      </c>
      <c r="G269" s="279" t="s">
        <v>1706</v>
      </c>
    </row>
    <row r="270" spans="1:7" ht="12.9" customHeight="1">
      <c r="A270" s="1041"/>
      <c r="B270" s="1045" t="s">
        <v>2475</v>
      </c>
      <c r="C270" s="277" t="s">
        <v>1711</v>
      </c>
      <c r="D270" s="277" t="s">
        <v>1712</v>
      </c>
      <c r="E270" s="278">
        <v>534000</v>
      </c>
      <c r="F270" s="392">
        <f t="shared" si="4"/>
        <v>534</v>
      </c>
      <c r="G270" s="279" t="s">
        <v>1706</v>
      </c>
    </row>
    <row r="271" spans="1:7" ht="12.9" customHeight="1">
      <c r="A271" s="1041"/>
      <c r="B271" s="1045"/>
      <c r="C271" s="277" t="s">
        <v>1713</v>
      </c>
      <c r="D271" s="277" t="s">
        <v>1714</v>
      </c>
      <c r="E271" s="278">
        <v>17000</v>
      </c>
      <c r="F271" s="392">
        <f t="shared" si="4"/>
        <v>17</v>
      </c>
      <c r="G271" s="279" t="s">
        <v>1706</v>
      </c>
    </row>
    <row r="272" spans="1:7" ht="12.9" customHeight="1">
      <c r="A272" s="1041"/>
      <c r="B272" s="277" t="s">
        <v>2477</v>
      </c>
      <c r="C272" s="277" t="s">
        <v>1713</v>
      </c>
      <c r="D272" s="277" t="s">
        <v>1714</v>
      </c>
      <c r="E272" s="278">
        <v>46000</v>
      </c>
      <c r="F272" s="392">
        <f t="shared" si="4"/>
        <v>46</v>
      </c>
      <c r="G272" s="279" t="s">
        <v>1706</v>
      </c>
    </row>
    <row r="273" spans="1:7" ht="12.9" customHeight="1">
      <c r="A273" s="1041"/>
      <c r="B273" s="277" t="s">
        <v>2478</v>
      </c>
      <c r="C273" s="277" t="s">
        <v>1713</v>
      </c>
      <c r="D273" s="277" t="s">
        <v>1714</v>
      </c>
      <c r="E273" s="278">
        <v>14000</v>
      </c>
      <c r="F273" s="392">
        <f t="shared" si="4"/>
        <v>14</v>
      </c>
      <c r="G273" s="279" t="s">
        <v>1706</v>
      </c>
    </row>
    <row r="274" spans="1:7" ht="12.9" customHeight="1">
      <c r="A274" s="1041"/>
      <c r="B274" s="1045" t="s">
        <v>2479</v>
      </c>
      <c r="C274" s="277" t="s">
        <v>1711</v>
      </c>
      <c r="D274" s="277" t="s">
        <v>1712</v>
      </c>
      <c r="E274" s="278">
        <v>900000</v>
      </c>
      <c r="F274" s="392">
        <f t="shared" si="4"/>
        <v>900</v>
      </c>
      <c r="G274" s="279" t="s">
        <v>1706</v>
      </c>
    </row>
    <row r="275" spans="1:7" ht="12.9" customHeight="1">
      <c r="A275" s="1041"/>
      <c r="B275" s="1045"/>
      <c r="C275" s="277" t="s">
        <v>1713</v>
      </c>
      <c r="D275" s="277" t="s">
        <v>1714</v>
      </c>
      <c r="E275" s="278">
        <v>56000</v>
      </c>
      <c r="F275" s="392">
        <f t="shared" si="4"/>
        <v>56</v>
      </c>
      <c r="G275" s="279" t="s">
        <v>1706</v>
      </c>
    </row>
    <row r="276" spans="1:7" ht="26.1" customHeight="1">
      <c r="A276" s="1041"/>
      <c r="B276" s="1045"/>
      <c r="C276" s="277" t="s">
        <v>1717</v>
      </c>
      <c r="D276" s="277" t="s">
        <v>1718</v>
      </c>
      <c r="E276" s="278">
        <v>200403</v>
      </c>
      <c r="F276" s="392">
        <f t="shared" si="4"/>
        <v>200.40299999999999</v>
      </c>
      <c r="G276" s="279" t="s">
        <v>1706</v>
      </c>
    </row>
    <row r="277" spans="1:7" ht="12.9" customHeight="1">
      <c r="A277" s="1041"/>
      <c r="B277" s="277" t="s">
        <v>2480</v>
      </c>
      <c r="C277" s="277" t="s">
        <v>1711</v>
      </c>
      <c r="D277" s="277" t="s">
        <v>1712</v>
      </c>
      <c r="E277" s="278">
        <v>379000</v>
      </c>
      <c r="F277" s="392">
        <f t="shared" si="4"/>
        <v>379</v>
      </c>
      <c r="G277" s="279" t="s">
        <v>1706</v>
      </c>
    </row>
    <row r="278" spans="1:7" ht="12.9" customHeight="1">
      <c r="A278" s="1041"/>
      <c r="B278" s="1045" t="s">
        <v>2484</v>
      </c>
      <c r="C278" s="277" t="s">
        <v>1711</v>
      </c>
      <c r="D278" s="277" t="s">
        <v>1712</v>
      </c>
      <c r="E278" s="278">
        <v>296000</v>
      </c>
      <c r="F278" s="392">
        <f t="shared" si="4"/>
        <v>296</v>
      </c>
      <c r="G278" s="279" t="s">
        <v>1706</v>
      </c>
    </row>
    <row r="279" spans="1:7" ht="12.9" customHeight="1">
      <c r="A279" s="1041"/>
      <c r="B279" s="1045"/>
      <c r="C279" s="277" t="s">
        <v>1713</v>
      </c>
      <c r="D279" s="277" t="s">
        <v>1714</v>
      </c>
      <c r="E279" s="278">
        <v>27000</v>
      </c>
      <c r="F279" s="392">
        <f t="shared" si="4"/>
        <v>27</v>
      </c>
      <c r="G279" s="279" t="s">
        <v>1706</v>
      </c>
    </row>
    <row r="280" spans="1:7" ht="12.9" customHeight="1">
      <c r="A280" s="1041"/>
      <c r="B280" s="1045" t="s">
        <v>2486</v>
      </c>
      <c r="C280" s="277" t="s">
        <v>1711</v>
      </c>
      <c r="D280" s="277" t="s">
        <v>1712</v>
      </c>
      <c r="E280" s="278">
        <v>103000</v>
      </c>
      <c r="F280" s="392">
        <f t="shared" si="4"/>
        <v>103</v>
      </c>
      <c r="G280" s="279" t="s">
        <v>1706</v>
      </c>
    </row>
    <row r="281" spans="1:7" ht="12.9" customHeight="1">
      <c r="A281" s="1041"/>
      <c r="B281" s="1045"/>
      <c r="C281" s="277" t="s">
        <v>1713</v>
      </c>
      <c r="D281" s="277" t="s">
        <v>1714</v>
      </c>
      <c r="E281" s="278">
        <v>5000</v>
      </c>
      <c r="F281" s="392">
        <f t="shared" si="4"/>
        <v>5</v>
      </c>
      <c r="G281" s="279" t="s">
        <v>1706</v>
      </c>
    </row>
    <row r="282" spans="1:7" ht="26.1" customHeight="1">
      <c r="A282" s="1041"/>
      <c r="B282" s="1045"/>
      <c r="C282" s="277" t="s">
        <v>1715</v>
      </c>
      <c r="D282" s="277" t="s">
        <v>1716</v>
      </c>
      <c r="E282" s="278">
        <v>10000</v>
      </c>
      <c r="F282" s="392">
        <f t="shared" si="4"/>
        <v>10</v>
      </c>
      <c r="G282" s="279" t="s">
        <v>1706</v>
      </c>
    </row>
    <row r="283" spans="1:7" ht="12.9" customHeight="1">
      <c r="A283" s="1041"/>
      <c r="B283" s="1045" t="s">
        <v>2487</v>
      </c>
      <c r="C283" s="277" t="s">
        <v>1713</v>
      </c>
      <c r="D283" s="277" t="s">
        <v>1714</v>
      </c>
      <c r="E283" s="278">
        <v>15000</v>
      </c>
      <c r="F283" s="392">
        <f t="shared" si="4"/>
        <v>15</v>
      </c>
      <c r="G283" s="279" t="s">
        <v>1706</v>
      </c>
    </row>
    <row r="284" spans="1:7" ht="26.1" customHeight="1">
      <c r="A284" s="1041"/>
      <c r="B284" s="1045"/>
      <c r="C284" s="277" t="s">
        <v>1715</v>
      </c>
      <c r="D284" s="277" t="s">
        <v>1716</v>
      </c>
      <c r="E284" s="278">
        <v>10000</v>
      </c>
      <c r="F284" s="392">
        <f t="shared" si="4"/>
        <v>10</v>
      </c>
      <c r="G284" s="279" t="s">
        <v>1706</v>
      </c>
    </row>
    <row r="285" spans="1:7" ht="12.9" customHeight="1">
      <c r="A285" s="1041"/>
      <c r="B285" s="277" t="s">
        <v>2488</v>
      </c>
      <c r="C285" s="277" t="s">
        <v>1713</v>
      </c>
      <c r="D285" s="277" t="s">
        <v>1714</v>
      </c>
      <c r="E285" s="278">
        <v>25000</v>
      </c>
      <c r="F285" s="392">
        <f t="shared" si="4"/>
        <v>25</v>
      </c>
      <c r="G285" s="279" t="s">
        <v>1706</v>
      </c>
    </row>
    <row r="286" spans="1:7" ht="12.9" customHeight="1">
      <c r="A286" s="1043" t="s">
        <v>2491</v>
      </c>
      <c r="B286" s="1045" t="s">
        <v>2493</v>
      </c>
      <c r="C286" s="277" t="s">
        <v>1711</v>
      </c>
      <c r="D286" s="277" t="s">
        <v>1712</v>
      </c>
      <c r="E286" s="278">
        <v>1348000</v>
      </c>
      <c r="F286" s="393">
        <f t="shared" si="4"/>
        <v>1348</v>
      </c>
      <c r="G286" s="279" t="s">
        <v>1706</v>
      </c>
    </row>
    <row r="287" spans="1:7" ht="12.9" customHeight="1">
      <c r="A287" s="1047"/>
      <c r="B287" s="1045"/>
      <c r="C287" s="277" t="s">
        <v>1713</v>
      </c>
      <c r="D287" s="277" t="s">
        <v>1714</v>
      </c>
      <c r="E287" s="278">
        <v>61000</v>
      </c>
      <c r="F287" s="392">
        <f t="shared" si="4"/>
        <v>61</v>
      </c>
      <c r="G287" s="279" t="s">
        <v>1706</v>
      </c>
    </row>
    <row r="288" spans="1:7" ht="12.9" customHeight="1">
      <c r="A288" s="1047"/>
      <c r="B288" s="277" t="s">
        <v>2497</v>
      </c>
      <c r="C288" s="277" t="s">
        <v>1713</v>
      </c>
      <c r="D288" s="277" t="s">
        <v>1714</v>
      </c>
      <c r="E288" s="278">
        <v>41000</v>
      </c>
      <c r="F288" s="392">
        <f t="shared" si="4"/>
        <v>41</v>
      </c>
      <c r="G288" s="279" t="s">
        <v>1706</v>
      </c>
    </row>
    <row r="289" spans="1:7" ht="12.9" customHeight="1">
      <c r="A289" s="1047"/>
      <c r="B289" s="277" t="s">
        <v>2498</v>
      </c>
      <c r="C289" s="277" t="s">
        <v>1711</v>
      </c>
      <c r="D289" s="277" t="s">
        <v>1712</v>
      </c>
      <c r="E289" s="278">
        <v>83000</v>
      </c>
      <c r="F289" s="392">
        <f t="shared" si="4"/>
        <v>83</v>
      </c>
      <c r="G289" s="279" t="s">
        <v>1706</v>
      </c>
    </row>
    <row r="290" spans="1:7" ht="12.9" customHeight="1">
      <c r="A290" s="1047"/>
      <c r="B290" s="277" t="s">
        <v>2500</v>
      </c>
      <c r="C290" s="277" t="s">
        <v>1713</v>
      </c>
      <c r="D290" s="277" t="s">
        <v>1714</v>
      </c>
      <c r="E290" s="278">
        <v>4000</v>
      </c>
      <c r="F290" s="392">
        <f t="shared" si="4"/>
        <v>4</v>
      </c>
      <c r="G290" s="279" t="s">
        <v>1706</v>
      </c>
    </row>
    <row r="291" spans="1:7" ht="12.9" customHeight="1">
      <c r="A291" s="1047"/>
      <c r="B291" s="1045" t="s">
        <v>2501</v>
      </c>
      <c r="C291" s="277" t="s">
        <v>1711</v>
      </c>
      <c r="D291" s="277" t="s">
        <v>1712</v>
      </c>
      <c r="E291" s="278">
        <v>177000</v>
      </c>
      <c r="F291" s="392">
        <f t="shared" si="4"/>
        <v>177</v>
      </c>
      <c r="G291" s="279" t="s">
        <v>1706</v>
      </c>
    </row>
    <row r="292" spans="1:7" ht="12.9" customHeight="1">
      <c r="A292" s="1047"/>
      <c r="B292" s="1045"/>
      <c r="C292" s="277" t="s">
        <v>1713</v>
      </c>
      <c r="D292" s="277" t="s">
        <v>1714</v>
      </c>
      <c r="E292" s="278">
        <v>22000</v>
      </c>
      <c r="F292" s="392">
        <f t="shared" si="4"/>
        <v>22</v>
      </c>
      <c r="G292" s="279" t="s">
        <v>1706</v>
      </c>
    </row>
    <row r="293" spans="1:7" ht="26.1" customHeight="1">
      <c r="A293" s="1047"/>
      <c r="B293" s="1045"/>
      <c r="C293" s="277" t="s">
        <v>1717</v>
      </c>
      <c r="D293" s="277" t="s">
        <v>1718</v>
      </c>
      <c r="E293" s="278">
        <v>77077</v>
      </c>
      <c r="F293" s="392">
        <f t="shared" si="4"/>
        <v>77.076999999999998</v>
      </c>
      <c r="G293" s="279" t="s">
        <v>1706</v>
      </c>
    </row>
    <row r="294" spans="1:7" ht="12.9" customHeight="1">
      <c r="A294" s="1047"/>
      <c r="B294" s="277" t="s">
        <v>2502</v>
      </c>
      <c r="C294" s="277" t="s">
        <v>1711</v>
      </c>
      <c r="D294" s="277" t="s">
        <v>1712</v>
      </c>
      <c r="E294" s="278">
        <v>159000</v>
      </c>
      <c r="F294" s="392">
        <f t="shared" si="4"/>
        <v>159</v>
      </c>
      <c r="G294" s="279" t="s">
        <v>1706</v>
      </c>
    </row>
    <row r="295" spans="1:7" ht="12.9" customHeight="1">
      <c r="A295" s="1039"/>
      <c r="B295" s="277" t="s">
        <v>2503</v>
      </c>
      <c r="C295" s="277" t="s">
        <v>1713</v>
      </c>
      <c r="D295" s="277" t="s">
        <v>1714</v>
      </c>
      <c r="E295" s="278">
        <v>37000</v>
      </c>
      <c r="F295" s="392">
        <f t="shared" si="4"/>
        <v>37</v>
      </c>
      <c r="G295" s="279" t="s">
        <v>1706</v>
      </c>
    </row>
    <row r="296" spans="1:7" ht="26.1" customHeight="1">
      <c r="A296" s="1043" t="s">
        <v>2491</v>
      </c>
      <c r="B296" s="1046" t="s">
        <v>2503</v>
      </c>
      <c r="C296" s="277" t="s">
        <v>1715</v>
      </c>
      <c r="D296" s="277" t="s">
        <v>1716</v>
      </c>
      <c r="E296" s="278">
        <v>18000</v>
      </c>
      <c r="F296" s="393">
        <f t="shared" si="4"/>
        <v>18</v>
      </c>
      <c r="G296" s="279" t="s">
        <v>1706</v>
      </c>
    </row>
    <row r="297" spans="1:7" ht="26.1" customHeight="1">
      <c r="A297" s="1047"/>
      <c r="B297" s="1055"/>
      <c r="C297" s="277" t="s">
        <v>1717</v>
      </c>
      <c r="D297" s="277" t="s">
        <v>1718</v>
      </c>
      <c r="E297" s="278">
        <v>73232</v>
      </c>
      <c r="F297" s="392">
        <f t="shared" si="4"/>
        <v>73.231999999999999</v>
      </c>
      <c r="G297" s="279" t="s">
        <v>1706</v>
      </c>
    </row>
    <row r="298" spans="1:7" ht="12.9" customHeight="1">
      <c r="A298" s="1039"/>
      <c r="B298" s="277" t="s">
        <v>2601</v>
      </c>
      <c r="C298" s="277" t="s">
        <v>1711</v>
      </c>
      <c r="D298" s="277" t="s">
        <v>1712</v>
      </c>
      <c r="E298" s="278">
        <v>24000</v>
      </c>
      <c r="F298" s="392">
        <f t="shared" si="4"/>
        <v>24</v>
      </c>
      <c r="G298" s="279" t="s">
        <v>1706</v>
      </c>
    </row>
    <row r="299" spans="1:7" ht="12.9" customHeight="1">
      <c r="A299" s="1041" t="s">
        <v>2506</v>
      </c>
      <c r="B299" s="1045" t="s">
        <v>2507</v>
      </c>
      <c r="C299" s="277" t="s">
        <v>1711</v>
      </c>
      <c r="D299" s="277" t="s">
        <v>1712</v>
      </c>
      <c r="E299" s="278">
        <v>20000</v>
      </c>
      <c r="F299" s="392">
        <f t="shared" si="4"/>
        <v>20</v>
      </c>
      <c r="G299" s="279" t="s">
        <v>1706</v>
      </c>
    </row>
    <row r="300" spans="1:7" ht="12.9" customHeight="1">
      <c r="A300" s="1041"/>
      <c r="B300" s="1045"/>
      <c r="C300" s="277" t="s">
        <v>1713</v>
      </c>
      <c r="D300" s="277" t="s">
        <v>1714</v>
      </c>
      <c r="E300" s="278">
        <v>12000</v>
      </c>
      <c r="F300" s="392">
        <f t="shared" si="4"/>
        <v>12</v>
      </c>
      <c r="G300" s="279" t="s">
        <v>1706</v>
      </c>
    </row>
    <row r="301" spans="1:7" ht="12.9" customHeight="1">
      <c r="A301" s="1041"/>
      <c r="B301" s="277" t="s">
        <v>2508</v>
      </c>
      <c r="C301" s="277" t="s">
        <v>1713</v>
      </c>
      <c r="D301" s="277" t="s">
        <v>1714</v>
      </c>
      <c r="E301" s="278">
        <v>9000</v>
      </c>
      <c r="F301" s="392">
        <f t="shared" si="4"/>
        <v>9</v>
      </c>
      <c r="G301" s="279" t="s">
        <v>1706</v>
      </c>
    </row>
    <row r="302" spans="1:7" ht="12.9" customHeight="1">
      <c r="A302" s="1041"/>
      <c r="B302" s="277" t="s">
        <v>2511</v>
      </c>
      <c r="C302" s="277" t="s">
        <v>1713</v>
      </c>
      <c r="D302" s="277" t="s">
        <v>1714</v>
      </c>
      <c r="E302" s="278">
        <v>23000</v>
      </c>
      <c r="F302" s="392">
        <f t="shared" si="4"/>
        <v>23</v>
      </c>
      <c r="G302" s="279" t="s">
        <v>1706</v>
      </c>
    </row>
    <row r="303" spans="1:7" ht="12.9" customHeight="1">
      <c r="A303" s="1041"/>
      <c r="B303" s="277" t="s">
        <v>2513</v>
      </c>
      <c r="C303" s="277" t="s">
        <v>1713</v>
      </c>
      <c r="D303" s="277" t="s">
        <v>1714</v>
      </c>
      <c r="E303" s="278">
        <v>5000</v>
      </c>
      <c r="F303" s="392">
        <f t="shared" si="4"/>
        <v>5</v>
      </c>
      <c r="G303" s="279" t="s">
        <v>1706</v>
      </c>
    </row>
    <row r="304" spans="1:7" ht="12.9" customHeight="1">
      <c r="A304" s="1041"/>
      <c r="B304" s="1045" t="s">
        <v>2516</v>
      </c>
      <c r="C304" s="277" t="s">
        <v>1711</v>
      </c>
      <c r="D304" s="277" t="s">
        <v>1712</v>
      </c>
      <c r="E304" s="278">
        <v>218000</v>
      </c>
      <c r="F304" s="392">
        <f t="shared" si="4"/>
        <v>218</v>
      </c>
      <c r="G304" s="279" t="s">
        <v>1706</v>
      </c>
    </row>
    <row r="305" spans="1:7" ht="12.9" customHeight="1">
      <c r="A305" s="1041"/>
      <c r="B305" s="1045"/>
      <c r="C305" s="277" t="s">
        <v>1713</v>
      </c>
      <c r="D305" s="277" t="s">
        <v>1714</v>
      </c>
      <c r="E305" s="278">
        <v>34000</v>
      </c>
      <c r="F305" s="392">
        <f t="shared" si="4"/>
        <v>34</v>
      </c>
      <c r="G305" s="279" t="s">
        <v>1706</v>
      </c>
    </row>
    <row r="306" spans="1:7" ht="12.9" customHeight="1">
      <c r="A306" s="1041"/>
      <c r="B306" s="1045" t="s">
        <v>2517</v>
      </c>
      <c r="C306" s="277" t="s">
        <v>1711</v>
      </c>
      <c r="D306" s="277" t="s">
        <v>1712</v>
      </c>
      <c r="E306" s="278">
        <v>590000</v>
      </c>
      <c r="F306" s="392">
        <f t="shared" si="4"/>
        <v>590</v>
      </c>
      <c r="G306" s="279" t="s">
        <v>1706</v>
      </c>
    </row>
    <row r="307" spans="1:7" ht="12.9" customHeight="1">
      <c r="A307" s="1041"/>
      <c r="B307" s="1045"/>
      <c r="C307" s="277" t="s">
        <v>1713</v>
      </c>
      <c r="D307" s="277" t="s">
        <v>1714</v>
      </c>
      <c r="E307" s="278">
        <v>31000</v>
      </c>
      <c r="F307" s="392">
        <f t="shared" si="4"/>
        <v>31</v>
      </c>
      <c r="G307" s="279" t="s">
        <v>1706</v>
      </c>
    </row>
    <row r="308" spans="1:7" ht="12.9" customHeight="1">
      <c r="A308" s="1041"/>
      <c r="B308" s="277" t="s">
        <v>2519</v>
      </c>
      <c r="C308" s="277" t="s">
        <v>1711</v>
      </c>
      <c r="D308" s="277" t="s">
        <v>1712</v>
      </c>
      <c r="E308" s="278">
        <v>163000</v>
      </c>
      <c r="F308" s="392">
        <f t="shared" si="4"/>
        <v>163</v>
      </c>
      <c r="G308" s="279" t="s">
        <v>1706</v>
      </c>
    </row>
    <row r="309" spans="1:7" ht="12.9" customHeight="1">
      <c r="A309" s="1041"/>
      <c r="B309" s="277" t="s">
        <v>2520</v>
      </c>
      <c r="C309" s="277" t="s">
        <v>1713</v>
      </c>
      <c r="D309" s="277" t="s">
        <v>1714</v>
      </c>
      <c r="E309" s="278">
        <v>5000</v>
      </c>
      <c r="F309" s="392">
        <f t="shared" si="4"/>
        <v>5</v>
      </c>
      <c r="G309" s="279" t="s">
        <v>1706</v>
      </c>
    </row>
    <row r="310" spans="1:7" ht="12.9" customHeight="1">
      <c r="A310" s="1041"/>
      <c r="B310" s="1045" t="s">
        <v>2521</v>
      </c>
      <c r="C310" s="277" t="s">
        <v>1711</v>
      </c>
      <c r="D310" s="277" t="s">
        <v>1712</v>
      </c>
      <c r="E310" s="278">
        <v>132000</v>
      </c>
      <c r="F310" s="392">
        <f t="shared" si="4"/>
        <v>132</v>
      </c>
      <c r="G310" s="279" t="s">
        <v>1706</v>
      </c>
    </row>
    <row r="311" spans="1:7" ht="12.9" customHeight="1">
      <c r="A311" s="1041"/>
      <c r="B311" s="1045"/>
      <c r="C311" s="277" t="s">
        <v>1713</v>
      </c>
      <c r="D311" s="277" t="s">
        <v>1714</v>
      </c>
      <c r="E311" s="278">
        <v>4000</v>
      </c>
      <c r="F311" s="392">
        <f t="shared" si="4"/>
        <v>4</v>
      </c>
      <c r="G311" s="279" t="s">
        <v>1706</v>
      </c>
    </row>
    <row r="312" spans="1:7" ht="12.9" customHeight="1">
      <c r="A312" s="1041" t="s">
        <v>2523</v>
      </c>
      <c r="B312" s="1045" t="s">
        <v>2524</v>
      </c>
      <c r="C312" s="277" t="s">
        <v>1711</v>
      </c>
      <c r="D312" s="277" t="s">
        <v>1712</v>
      </c>
      <c r="E312" s="278">
        <v>136000</v>
      </c>
      <c r="F312" s="392">
        <f t="shared" si="4"/>
        <v>136</v>
      </c>
      <c r="G312" s="279" t="s">
        <v>1706</v>
      </c>
    </row>
    <row r="313" spans="1:7" ht="12.9" customHeight="1">
      <c r="A313" s="1041"/>
      <c r="B313" s="1045"/>
      <c r="C313" s="277" t="s">
        <v>1713</v>
      </c>
      <c r="D313" s="277" t="s">
        <v>1714</v>
      </c>
      <c r="E313" s="278">
        <v>8000</v>
      </c>
      <c r="F313" s="392">
        <f t="shared" si="4"/>
        <v>8</v>
      </c>
      <c r="G313" s="279" t="s">
        <v>1706</v>
      </c>
    </row>
    <row r="314" spans="1:7" ht="26.1" customHeight="1">
      <c r="A314" s="1041"/>
      <c r="B314" s="1045"/>
      <c r="C314" s="277" t="s">
        <v>1715</v>
      </c>
      <c r="D314" s="277" t="s">
        <v>1716</v>
      </c>
      <c r="E314" s="278">
        <v>13000</v>
      </c>
      <c r="F314" s="392">
        <f t="shared" si="4"/>
        <v>13</v>
      </c>
      <c r="G314" s="279" t="s">
        <v>1706</v>
      </c>
    </row>
    <row r="315" spans="1:7" ht="12.9" customHeight="1">
      <c r="A315" s="1041"/>
      <c r="B315" s="277" t="s">
        <v>2525</v>
      </c>
      <c r="C315" s="277" t="s">
        <v>1713</v>
      </c>
      <c r="D315" s="277" t="s">
        <v>1714</v>
      </c>
      <c r="E315" s="278">
        <v>12000</v>
      </c>
      <c r="F315" s="392">
        <f t="shared" si="4"/>
        <v>12</v>
      </c>
      <c r="G315" s="279" t="s">
        <v>1706</v>
      </c>
    </row>
    <row r="316" spans="1:7" ht="12.9" customHeight="1">
      <c r="A316" s="1041"/>
      <c r="B316" s="277" t="s">
        <v>2526</v>
      </c>
      <c r="C316" s="277" t="s">
        <v>1713</v>
      </c>
      <c r="D316" s="277" t="s">
        <v>1714</v>
      </c>
      <c r="E316" s="278">
        <v>14000</v>
      </c>
      <c r="F316" s="392">
        <f t="shared" si="4"/>
        <v>14</v>
      </c>
      <c r="G316" s="279" t="s">
        <v>1706</v>
      </c>
    </row>
    <row r="317" spans="1:7" ht="12.9" customHeight="1">
      <c r="A317" s="1041"/>
      <c r="B317" s="277" t="s">
        <v>2527</v>
      </c>
      <c r="C317" s="277" t="s">
        <v>1713</v>
      </c>
      <c r="D317" s="277" t="s">
        <v>1714</v>
      </c>
      <c r="E317" s="278">
        <v>8000</v>
      </c>
      <c r="F317" s="392">
        <f t="shared" si="4"/>
        <v>8</v>
      </c>
      <c r="G317" s="279" t="s">
        <v>1706</v>
      </c>
    </row>
    <row r="318" spans="1:7" ht="12.9" customHeight="1">
      <c r="A318" s="1041"/>
      <c r="B318" s="1045" t="s">
        <v>2529</v>
      </c>
      <c r="C318" s="277" t="s">
        <v>1713</v>
      </c>
      <c r="D318" s="277" t="s">
        <v>1714</v>
      </c>
      <c r="E318" s="278">
        <v>11000</v>
      </c>
      <c r="F318" s="392">
        <f t="shared" si="4"/>
        <v>11</v>
      </c>
      <c r="G318" s="279" t="s">
        <v>1706</v>
      </c>
    </row>
    <row r="319" spans="1:7" ht="26.1" customHeight="1">
      <c r="A319" s="1041"/>
      <c r="B319" s="1045"/>
      <c r="C319" s="277" t="s">
        <v>1715</v>
      </c>
      <c r="D319" s="277" t="s">
        <v>1716</v>
      </c>
      <c r="E319" s="278">
        <v>14000</v>
      </c>
      <c r="F319" s="392">
        <f t="shared" si="4"/>
        <v>14</v>
      </c>
      <c r="G319" s="279" t="s">
        <v>1706</v>
      </c>
    </row>
    <row r="320" spans="1:7" ht="26.1" customHeight="1">
      <c r="A320" s="1041"/>
      <c r="B320" s="1045"/>
      <c r="C320" s="277" t="s">
        <v>1717</v>
      </c>
      <c r="D320" s="277" t="s">
        <v>1718</v>
      </c>
      <c r="E320" s="278">
        <v>89878</v>
      </c>
      <c r="F320" s="392">
        <f t="shared" si="4"/>
        <v>89.878</v>
      </c>
      <c r="G320" s="279" t="s">
        <v>1706</v>
      </c>
    </row>
    <row r="321" spans="1:7" ht="12.9" customHeight="1">
      <c r="A321" s="1041"/>
      <c r="B321" s="277" t="s">
        <v>2530</v>
      </c>
      <c r="C321" s="277" t="s">
        <v>1713</v>
      </c>
      <c r="D321" s="277" t="s">
        <v>1714</v>
      </c>
      <c r="E321" s="278">
        <v>13000</v>
      </c>
      <c r="F321" s="392">
        <f t="shared" si="4"/>
        <v>13</v>
      </c>
      <c r="G321" s="279" t="s">
        <v>1706</v>
      </c>
    </row>
    <row r="322" spans="1:7" ht="12.9" customHeight="1">
      <c r="A322" s="1041"/>
      <c r="B322" s="1045" t="s">
        <v>2532</v>
      </c>
      <c r="C322" s="277" t="s">
        <v>1711</v>
      </c>
      <c r="D322" s="277" t="s">
        <v>1712</v>
      </c>
      <c r="E322" s="278">
        <v>98000</v>
      </c>
      <c r="F322" s="392">
        <f t="shared" si="4"/>
        <v>98</v>
      </c>
      <c r="G322" s="279" t="s">
        <v>1706</v>
      </c>
    </row>
    <row r="323" spans="1:7" ht="26.1" customHeight="1">
      <c r="A323" s="1041"/>
      <c r="B323" s="1045"/>
      <c r="C323" s="277" t="s">
        <v>1715</v>
      </c>
      <c r="D323" s="277" t="s">
        <v>1716</v>
      </c>
      <c r="E323" s="278">
        <v>13000</v>
      </c>
      <c r="F323" s="392">
        <f t="shared" si="4"/>
        <v>13</v>
      </c>
      <c r="G323" s="279" t="s">
        <v>1706</v>
      </c>
    </row>
    <row r="324" spans="1:7" ht="12.9" customHeight="1">
      <c r="A324" s="1041"/>
      <c r="B324" s="277" t="s">
        <v>2533</v>
      </c>
      <c r="C324" s="277" t="s">
        <v>1713</v>
      </c>
      <c r="D324" s="277" t="s">
        <v>1714</v>
      </c>
      <c r="E324" s="278">
        <v>23000</v>
      </c>
      <c r="F324" s="392">
        <f t="shared" si="4"/>
        <v>23</v>
      </c>
      <c r="G324" s="279" t="s">
        <v>1706</v>
      </c>
    </row>
    <row r="325" spans="1:7" ht="12.9" customHeight="1">
      <c r="A325" s="1041"/>
      <c r="B325" s="1045" t="s">
        <v>2534</v>
      </c>
      <c r="C325" s="277" t="s">
        <v>1711</v>
      </c>
      <c r="D325" s="277" t="s">
        <v>1712</v>
      </c>
      <c r="E325" s="278">
        <v>212000</v>
      </c>
      <c r="F325" s="392">
        <f t="shared" si="4"/>
        <v>212</v>
      </c>
      <c r="G325" s="279" t="s">
        <v>1706</v>
      </c>
    </row>
    <row r="326" spans="1:7" ht="12.9" customHeight="1">
      <c r="A326" s="1041"/>
      <c r="B326" s="1045"/>
      <c r="C326" s="277" t="s">
        <v>1713</v>
      </c>
      <c r="D326" s="277" t="s">
        <v>1714</v>
      </c>
      <c r="E326" s="278">
        <v>61000</v>
      </c>
      <c r="F326" s="392">
        <f t="shared" ref="F326:F377" si="5">E326/1000</f>
        <v>61</v>
      </c>
      <c r="G326" s="279" t="s">
        <v>1706</v>
      </c>
    </row>
    <row r="327" spans="1:7" ht="12.9" customHeight="1">
      <c r="A327" s="1041"/>
      <c r="B327" s="1045" t="s">
        <v>2535</v>
      </c>
      <c r="C327" s="277" t="s">
        <v>1711</v>
      </c>
      <c r="D327" s="277" t="s">
        <v>1712</v>
      </c>
      <c r="E327" s="278">
        <v>500000</v>
      </c>
      <c r="F327" s="392">
        <f t="shared" si="5"/>
        <v>500</v>
      </c>
      <c r="G327" s="279" t="s">
        <v>1706</v>
      </c>
    </row>
    <row r="328" spans="1:7" ht="12.9" customHeight="1">
      <c r="A328" s="1041"/>
      <c r="B328" s="1045"/>
      <c r="C328" s="277" t="s">
        <v>1713</v>
      </c>
      <c r="D328" s="277" t="s">
        <v>1714</v>
      </c>
      <c r="E328" s="278">
        <v>21000</v>
      </c>
      <c r="F328" s="392">
        <f t="shared" si="5"/>
        <v>21</v>
      </c>
      <c r="G328" s="279" t="s">
        <v>1706</v>
      </c>
    </row>
    <row r="329" spans="1:7" ht="26.1" customHeight="1">
      <c r="A329" s="1041"/>
      <c r="B329" s="1045"/>
      <c r="C329" s="277" t="s">
        <v>1715</v>
      </c>
      <c r="D329" s="277" t="s">
        <v>1716</v>
      </c>
      <c r="E329" s="278">
        <v>12000</v>
      </c>
      <c r="F329" s="392">
        <f t="shared" si="5"/>
        <v>12</v>
      </c>
      <c r="G329" s="279" t="s">
        <v>1706</v>
      </c>
    </row>
    <row r="330" spans="1:7" ht="12.9" customHeight="1">
      <c r="A330" s="1041"/>
      <c r="B330" s="277" t="s">
        <v>2537</v>
      </c>
      <c r="C330" s="277" t="s">
        <v>1711</v>
      </c>
      <c r="D330" s="277" t="s">
        <v>1712</v>
      </c>
      <c r="E330" s="278">
        <v>136000</v>
      </c>
      <c r="F330" s="392">
        <f t="shared" si="5"/>
        <v>136</v>
      </c>
      <c r="G330" s="279" t="s">
        <v>1706</v>
      </c>
    </row>
    <row r="331" spans="1:7" ht="12.9" customHeight="1">
      <c r="A331" s="1041"/>
      <c r="B331" s="1045" t="s">
        <v>2539</v>
      </c>
      <c r="C331" s="277" t="s">
        <v>1711</v>
      </c>
      <c r="D331" s="277" t="s">
        <v>1712</v>
      </c>
      <c r="E331" s="278">
        <v>106000</v>
      </c>
      <c r="F331" s="392">
        <f t="shared" si="5"/>
        <v>106</v>
      </c>
      <c r="G331" s="279" t="s">
        <v>1706</v>
      </c>
    </row>
    <row r="332" spans="1:7" ht="12.9" customHeight="1">
      <c r="A332" s="1041"/>
      <c r="B332" s="1045"/>
      <c r="C332" s="277" t="s">
        <v>1713</v>
      </c>
      <c r="D332" s="277" t="s">
        <v>1714</v>
      </c>
      <c r="E332" s="278">
        <v>2000</v>
      </c>
      <c r="F332" s="392">
        <f t="shared" si="5"/>
        <v>2</v>
      </c>
      <c r="G332" s="279" t="s">
        <v>1706</v>
      </c>
    </row>
    <row r="333" spans="1:7" ht="12.9" customHeight="1">
      <c r="A333" s="1041"/>
      <c r="B333" s="277" t="s">
        <v>2540</v>
      </c>
      <c r="C333" s="277" t="s">
        <v>1713</v>
      </c>
      <c r="D333" s="277" t="s">
        <v>1714</v>
      </c>
      <c r="E333" s="278">
        <v>4000</v>
      </c>
      <c r="F333" s="392">
        <f t="shared" si="5"/>
        <v>4</v>
      </c>
      <c r="G333" s="279" t="s">
        <v>1706</v>
      </c>
    </row>
    <row r="334" spans="1:7" ht="12.9" customHeight="1">
      <c r="A334" s="1041"/>
      <c r="B334" s="1045" t="s">
        <v>2541</v>
      </c>
      <c r="C334" s="277" t="s">
        <v>1711</v>
      </c>
      <c r="D334" s="277" t="s">
        <v>1712</v>
      </c>
      <c r="E334" s="278">
        <v>170000</v>
      </c>
      <c r="F334" s="392">
        <f t="shared" si="5"/>
        <v>170</v>
      </c>
      <c r="G334" s="279" t="s">
        <v>1706</v>
      </c>
    </row>
    <row r="335" spans="1:7" ht="12.9" customHeight="1">
      <c r="A335" s="1041"/>
      <c r="B335" s="1045"/>
      <c r="C335" s="277" t="s">
        <v>1713</v>
      </c>
      <c r="D335" s="277" t="s">
        <v>1714</v>
      </c>
      <c r="E335" s="278">
        <v>4000</v>
      </c>
      <c r="F335" s="392">
        <f t="shared" si="5"/>
        <v>4</v>
      </c>
      <c r="G335" s="279" t="s">
        <v>1706</v>
      </c>
    </row>
    <row r="336" spans="1:7" ht="12.9" customHeight="1">
      <c r="A336" s="1043" t="s">
        <v>2543</v>
      </c>
      <c r="B336" s="277" t="s">
        <v>2544</v>
      </c>
      <c r="C336" s="277" t="s">
        <v>1713</v>
      </c>
      <c r="D336" s="277" t="s">
        <v>1714</v>
      </c>
      <c r="E336" s="278">
        <v>40000</v>
      </c>
      <c r="F336" s="393">
        <f t="shared" si="5"/>
        <v>40</v>
      </c>
      <c r="G336" s="279" t="s">
        <v>1706</v>
      </c>
    </row>
    <row r="337" spans="1:7" ht="12.9" customHeight="1">
      <c r="A337" s="1047"/>
      <c r="B337" s="1045" t="s">
        <v>2546</v>
      </c>
      <c r="C337" s="277" t="s">
        <v>1711</v>
      </c>
      <c r="D337" s="277" t="s">
        <v>1712</v>
      </c>
      <c r="E337" s="278">
        <v>112000</v>
      </c>
      <c r="F337" s="392">
        <f t="shared" si="5"/>
        <v>112</v>
      </c>
      <c r="G337" s="279" t="s">
        <v>1706</v>
      </c>
    </row>
    <row r="338" spans="1:7" ht="12.9" customHeight="1">
      <c r="A338" s="1047"/>
      <c r="B338" s="1045"/>
      <c r="C338" s="277" t="s">
        <v>1713</v>
      </c>
      <c r="D338" s="277" t="s">
        <v>1714</v>
      </c>
      <c r="E338" s="278">
        <v>6000</v>
      </c>
      <c r="F338" s="392">
        <f t="shared" si="5"/>
        <v>6</v>
      </c>
      <c r="G338" s="279" t="s">
        <v>1706</v>
      </c>
    </row>
    <row r="339" spans="1:7" ht="12.9" customHeight="1">
      <c r="A339" s="1047"/>
      <c r="B339" s="1045" t="s">
        <v>2547</v>
      </c>
      <c r="C339" s="277" t="s">
        <v>1711</v>
      </c>
      <c r="D339" s="277" t="s">
        <v>1712</v>
      </c>
      <c r="E339" s="278">
        <v>103000</v>
      </c>
      <c r="F339" s="392">
        <f t="shared" si="5"/>
        <v>103</v>
      </c>
      <c r="G339" s="279" t="s">
        <v>1706</v>
      </c>
    </row>
    <row r="340" spans="1:7" ht="12.9" customHeight="1">
      <c r="A340" s="1047"/>
      <c r="B340" s="1045"/>
      <c r="C340" s="277" t="s">
        <v>1713</v>
      </c>
      <c r="D340" s="277" t="s">
        <v>1714</v>
      </c>
      <c r="E340" s="278">
        <v>1000</v>
      </c>
      <c r="F340" s="392">
        <f t="shared" si="5"/>
        <v>1</v>
      </c>
      <c r="G340" s="279" t="s">
        <v>1706</v>
      </c>
    </row>
    <row r="341" spans="1:7" ht="12.9" customHeight="1">
      <c r="A341" s="1047"/>
      <c r="B341" s="277" t="s">
        <v>2548</v>
      </c>
      <c r="C341" s="277" t="s">
        <v>1713</v>
      </c>
      <c r="D341" s="277" t="s">
        <v>1714</v>
      </c>
      <c r="E341" s="278">
        <v>11000</v>
      </c>
      <c r="F341" s="392">
        <f t="shared" si="5"/>
        <v>11</v>
      </c>
      <c r="G341" s="279" t="s">
        <v>1706</v>
      </c>
    </row>
    <row r="342" spans="1:7" ht="12.9" customHeight="1">
      <c r="A342" s="1047"/>
      <c r="B342" s="277" t="s">
        <v>2550</v>
      </c>
      <c r="C342" s="277" t="s">
        <v>1713</v>
      </c>
      <c r="D342" s="277" t="s">
        <v>1714</v>
      </c>
      <c r="E342" s="278">
        <v>3000</v>
      </c>
      <c r="F342" s="392">
        <f t="shared" si="5"/>
        <v>3</v>
      </c>
      <c r="G342" s="279" t="s">
        <v>1706</v>
      </c>
    </row>
    <row r="343" spans="1:7" ht="12.9" customHeight="1">
      <c r="A343" s="1047"/>
      <c r="B343" s="1045" t="s">
        <v>2552</v>
      </c>
      <c r="C343" s="277" t="s">
        <v>1711</v>
      </c>
      <c r="D343" s="277" t="s">
        <v>1712</v>
      </c>
      <c r="E343" s="278">
        <v>71000</v>
      </c>
      <c r="F343" s="392">
        <f t="shared" si="5"/>
        <v>71</v>
      </c>
      <c r="G343" s="279" t="s">
        <v>1706</v>
      </c>
    </row>
    <row r="344" spans="1:7" ht="12.9" customHeight="1">
      <c r="A344" s="1047"/>
      <c r="B344" s="1045"/>
      <c r="C344" s="277" t="s">
        <v>1713</v>
      </c>
      <c r="D344" s="277" t="s">
        <v>1714</v>
      </c>
      <c r="E344" s="278">
        <v>11000</v>
      </c>
      <c r="F344" s="392">
        <f t="shared" si="5"/>
        <v>11</v>
      </c>
      <c r="G344" s="279" t="s">
        <v>1706</v>
      </c>
    </row>
    <row r="345" spans="1:7" ht="26.1" customHeight="1">
      <c r="A345" s="1047"/>
      <c r="B345" s="1045"/>
      <c r="C345" s="277" t="s">
        <v>1717</v>
      </c>
      <c r="D345" s="277" t="s">
        <v>1718</v>
      </c>
      <c r="E345" s="278">
        <v>66621</v>
      </c>
      <c r="F345" s="392">
        <f t="shared" si="5"/>
        <v>66.620999999999995</v>
      </c>
      <c r="G345" s="279" t="s">
        <v>1706</v>
      </c>
    </row>
    <row r="346" spans="1:7" ht="12.9" customHeight="1">
      <c r="A346" s="1047"/>
      <c r="B346" s="1045" t="s">
        <v>2553</v>
      </c>
      <c r="C346" s="277" t="s">
        <v>1711</v>
      </c>
      <c r="D346" s="277" t="s">
        <v>1712</v>
      </c>
      <c r="E346" s="278">
        <v>302000</v>
      </c>
      <c r="F346" s="392">
        <f t="shared" si="5"/>
        <v>302</v>
      </c>
      <c r="G346" s="279" t="s">
        <v>1706</v>
      </c>
    </row>
    <row r="347" spans="1:7" ht="12.9" customHeight="1">
      <c r="A347" s="1047"/>
      <c r="B347" s="1045"/>
      <c r="C347" s="277" t="s">
        <v>1713</v>
      </c>
      <c r="D347" s="277" t="s">
        <v>1714</v>
      </c>
      <c r="E347" s="278">
        <v>34000</v>
      </c>
      <c r="F347" s="392">
        <f t="shared" si="5"/>
        <v>34</v>
      </c>
      <c r="G347" s="279" t="s">
        <v>1706</v>
      </c>
    </row>
    <row r="348" spans="1:7" ht="12.9" customHeight="1">
      <c r="A348" s="1047"/>
      <c r="B348" s="1045" t="s">
        <v>2555</v>
      </c>
      <c r="C348" s="277" t="s">
        <v>1711</v>
      </c>
      <c r="D348" s="277" t="s">
        <v>1712</v>
      </c>
      <c r="E348" s="278">
        <v>237000</v>
      </c>
      <c r="F348" s="392">
        <f t="shared" si="5"/>
        <v>237</v>
      </c>
      <c r="G348" s="279" t="s">
        <v>1706</v>
      </c>
    </row>
    <row r="349" spans="1:7" ht="12.9" customHeight="1">
      <c r="A349" s="1047"/>
      <c r="B349" s="1045"/>
      <c r="C349" s="277" t="s">
        <v>1713</v>
      </c>
      <c r="D349" s="277" t="s">
        <v>1714</v>
      </c>
      <c r="E349" s="278">
        <v>12000</v>
      </c>
      <c r="F349" s="392">
        <f t="shared" si="5"/>
        <v>12</v>
      </c>
      <c r="G349" s="279" t="s">
        <v>1706</v>
      </c>
    </row>
    <row r="350" spans="1:7" ht="12.9" customHeight="1">
      <c r="A350" s="1047"/>
      <c r="B350" s="277" t="s">
        <v>2557</v>
      </c>
      <c r="C350" s="277" t="s">
        <v>1713</v>
      </c>
      <c r="D350" s="277" t="s">
        <v>1714</v>
      </c>
      <c r="E350" s="278">
        <v>4000</v>
      </c>
      <c r="F350" s="392">
        <f t="shared" si="5"/>
        <v>4</v>
      </c>
      <c r="G350" s="279" t="s">
        <v>1706</v>
      </c>
    </row>
    <row r="351" spans="1:7" ht="12.9" customHeight="1">
      <c r="A351" s="1039"/>
      <c r="B351" s="277" t="s">
        <v>2560</v>
      </c>
      <c r="C351" s="277" t="s">
        <v>1713</v>
      </c>
      <c r="D351" s="277" t="s">
        <v>1714</v>
      </c>
      <c r="E351" s="278">
        <v>15000</v>
      </c>
      <c r="F351" s="392">
        <f t="shared" si="5"/>
        <v>15</v>
      </c>
      <c r="G351" s="279" t="s">
        <v>1706</v>
      </c>
    </row>
    <row r="352" spans="1:7" ht="39" customHeight="1">
      <c r="A352" s="1043" t="s">
        <v>2543</v>
      </c>
      <c r="B352" s="277" t="s">
        <v>2560</v>
      </c>
      <c r="C352" s="277" t="s">
        <v>2598</v>
      </c>
      <c r="D352" s="277" t="s">
        <v>2599</v>
      </c>
      <c r="E352" s="278">
        <v>240000</v>
      </c>
      <c r="F352" s="393">
        <f t="shared" si="5"/>
        <v>240</v>
      </c>
      <c r="G352" s="279" t="s">
        <v>1706</v>
      </c>
    </row>
    <row r="353" spans="1:7" ht="12.9" customHeight="1">
      <c r="A353" s="1047"/>
      <c r="B353" s="1045" t="s">
        <v>2561</v>
      </c>
      <c r="C353" s="277" t="s">
        <v>1711</v>
      </c>
      <c r="D353" s="277" t="s">
        <v>1712</v>
      </c>
      <c r="E353" s="278">
        <v>714000</v>
      </c>
      <c r="F353" s="392">
        <f t="shared" si="5"/>
        <v>714</v>
      </c>
      <c r="G353" s="279" t="s">
        <v>1706</v>
      </c>
    </row>
    <row r="354" spans="1:7" ht="12.9" customHeight="1">
      <c r="A354" s="1047"/>
      <c r="B354" s="1045"/>
      <c r="C354" s="277" t="s">
        <v>1713</v>
      </c>
      <c r="D354" s="277" t="s">
        <v>1714</v>
      </c>
      <c r="E354" s="278">
        <v>11000</v>
      </c>
      <c r="F354" s="392">
        <f t="shared" si="5"/>
        <v>11</v>
      </c>
      <c r="G354" s="279" t="s">
        <v>1706</v>
      </c>
    </row>
    <row r="355" spans="1:7" ht="39" customHeight="1">
      <c r="A355" s="1047"/>
      <c r="B355" s="1045"/>
      <c r="C355" s="277" t="s">
        <v>1715</v>
      </c>
      <c r="D355" s="277" t="s">
        <v>1716</v>
      </c>
      <c r="E355" s="278">
        <v>14000</v>
      </c>
      <c r="F355" s="392">
        <f t="shared" si="5"/>
        <v>14</v>
      </c>
      <c r="G355" s="279" t="s">
        <v>1706</v>
      </c>
    </row>
    <row r="356" spans="1:7" ht="12.9" customHeight="1">
      <c r="A356" s="1047"/>
      <c r="B356" s="1045" t="s">
        <v>2564</v>
      </c>
      <c r="C356" s="277" t="s">
        <v>1711</v>
      </c>
      <c r="D356" s="277" t="s">
        <v>1712</v>
      </c>
      <c r="E356" s="278">
        <v>122000</v>
      </c>
      <c r="F356" s="392">
        <f t="shared" si="5"/>
        <v>122</v>
      </c>
      <c r="G356" s="279" t="s">
        <v>1706</v>
      </c>
    </row>
    <row r="357" spans="1:7" ht="12.9" customHeight="1">
      <c r="A357" s="1047"/>
      <c r="B357" s="1045"/>
      <c r="C357" s="277" t="s">
        <v>1713</v>
      </c>
      <c r="D357" s="277" t="s">
        <v>1714</v>
      </c>
      <c r="E357" s="278">
        <v>56000</v>
      </c>
      <c r="F357" s="392">
        <f t="shared" si="5"/>
        <v>56</v>
      </c>
      <c r="G357" s="279" t="s">
        <v>1706</v>
      </c>
    </row>
    <row r="358" spans="1:7" ht="12.9" customHeight="1">
      <c r="A358" s="1047"/>
      <c r="B358" s="1045" t="s">
        <v>2565</v>
      </c>
      <c r="C358" s="277" t="s">
        <v>1711</v>
      </c>
      <c r="D358" s="277" t="s">
        <v>1712</v>
      </c>
      <c r="E358" s="278">
        <v>446000</v>
      </c>
      <c r="F358" s="392">
        <f t="shared" si="5"/>
        <v>446</v>
      </c>
      <c r="G358" s="279" t="s">
        <v>1706</v>
      </c>
    </row>
    <row r="359" spans="1:7" ht="12.9" customHeight="1">
      <c r="A359" s="1047"/>
      <c r="B359" s="1045"/>
      <c r="C359" s="277" t="s">
        <v>1713</v>
      </c>
      <c r="D359" s="277" t="s">
        <v>1714</v>
      </c>
      <c r="E359" s="278">
        <v>20000</v>
      </c>
      <c r="F359" s="392">
        <f t="shared" si="5"/>
        <v>20</v>
      </c>
      <c r="G359" s="279" t="s">
        <v>1706</v>
      </c>
    </row>
    <row r="360" spans="1:7" ht="39" customHeight="1">
      <c r="A360" s="1047"/>
      <c r="B360" s="1045"/>
      <c r="C360" s="277" t="s">
        <v>1715</v>
      </c>
      <c r="D360" s="277" t="s">
        <v>1716</v>
      </c>
      <c r="E360" s="278">
        <v>29000</v>
      </c>
      <c r="F360" s="392">
        <f t="shared" si="5"/>
        <v>29</v>
      </c>
      <c r="G360" s="279" t="s">
        <v>1706</v>
      </c>
    </row>
    <row r="361" spans="1:7" ht="12.9" customHeight="1">
      <c r="A361" s="1047"/>
      <c r="B361" s="277" t="s">
        <v>2566</v>
      </c>
      <c r="C361" s="277" t="s">
        <v>1713</v>
      </c>
      <c r="D361" s="277" t="s">
        <v>1714</v>
      </c>
      <c r="E361" s="278">
        <v>34000</v>
      </c>
      <c r="F361" s="392">
        <f t="shared" si="5"/>
        <v>34</v>
      </c>
      <c r="G361" s="279" t="s">
        <v>1706</v>
      </c>
    </row>
    <row r="362" spans="1:7" ht="12.9" customHeight="1">
      <c r="A362" s="1047"/>
      <c r="B362" s="277" t="s">
        <v>2569</v>
      </c>
      <c r="C362" s="277" t="s">
        <v>1711</v>
      </c>
      <c r="D362" s="277" t="s">
        <v>1712</v>
      </c>
      <c r="E362" s="278">
        <v>125000</v>
      </c>
      <c r="F362" s="392">
        <f t="shared" si="5"/>
        <v>125</v>
      </c>
      <c r="G362" s="279" t="s">
        <v>1706</v>
      </c>
    </row>
    <row r="363" spans="1:7" ht="12.9" customHeight="1">
      <c r="A363" s="1047"/>
      <c r="B363" s="1045" t="s">
        <v>2571</v>
      </c>
      <c r="C363" s="277" t="s">
        <v>1711</v>
      </c>
      <c r="D363" s="277" t="s">
        <v>1712</v>
      </c>
      <c r="E363" s="278">
        <v>88000</v>
      </c>
      <c r="F363" s="392">
        <f t="shared" si="5"/>
        <v>88</v>
      </c>
      <c r="G363" s="279" t="s">
        <v>1706</v>
      </c>
    </row>
    <row r="364" spans="1:7" ht="39" customHeight="1">
      <c r="A364" s="1039"/>
      <c r="B364" s="1045"/>
      <c r="C364" s="277" t="s">
        <v>1717</v>
      </c>
      <c r="D364" s="277" t="s">
        <v>1718</v>
      </c>
      <c r="E364" s="278">
        <v>31609</v>
      </c>
      <c r="F364" s="392">
        <f t="shared" si="5"/>
        <v>31.609000000000002</v>
      </c>
      <c r="G364" s="279" t="s">
        <v>1706</v>
      </c>
    </row>
    <row r="365" spans="1:7" ht="12.9" customHeight="1">
      <c r="A365" s="1041" t="s">
        <v>2573</v>
      </c>
      <c r="B365" s="277" t="s">
        <v>2574</v>
      </c>
      <c r="C365" s="277" t="s">
        <v>1713</v>
      </c>
      <c r="D365" s="277" t="s">
        <v>1714</v>
      </c>
      <c r="E365" s="278">
        <v>24000</v>
      </c>
      <c r="F365" s="392">
        <f t="shared" si="5"/>
        <v>24</v>
      </c>
      <c r="G365" s="279" t="s">
        <v>1706</v>
      </c>
    </row>
    <row r="366" spans="1:7" ht="12.9" customHeight="1">
      <c r="A366" s="1041"/>
      <c r="B366" s="277" t="s">
        <v>2576</v>
      </c>
      <c r="C366" s="277" t="s">
        <v>1713</v>
      </c>
      <c r="D366" s="277" t="s">
        <v>1714</v>
      </c>
      <c r="E366" s="278">
        <v>16000</v>
      </c>
      <c r="F366" s="392">
        <f t="shared" si="5"/>
        <v>16</v>
      </c>
      <c r="G366" s="279" t="s">
        <v>1706</v>
      </c>
    </row>
    <row r="367" spans="1:7" ht="12.9" customHeight="1">
      <c r="A367" s="1041"/>
      <c r="B367" s="277" t="s">
        <v>2579</v>
      </c>
      <c r="C367" s="277" t="s">
        <v>1713</v>
      </c>
      <c r="D367" s="277" t="s">
        <v>1714</v>
      </c>
      <c r="E367" s="278">
        <v>7000</v>
      </c>
      <c r="F367" s="392">
        <f t="shared" si="5"/>
        <v>7</v>
      </c>
      <c r="G367" s="279" t="s">
        <v>1706</v>
      </c>
    </row>
    <row r="368" spans="1:7" ht="12.9" customHeight="1">
      <c r="A368" s="1041"/>
      <c r="B368" s="277" t="s">
        <v>2582</v>
      </c>
      <c r="C368" s="277" t="s">
        <v>1711</v>
      </c>
      <c r="D368" s="277" t="s">
        <v>1712</v>
      </c>
      <c r="E368" s="278">
        <v>116000</v>
      </c>
      <c r="F368" s="392">
        <f t="shared" si="5"/>
        <v>116</v>
      </c>
      <c r="G368" s="279" t="s">
        <v>1706</v>
      </c>
    </row>
    <row r="369" spans="1:7" ht="12.9" customHeight="1">
      <c r="A369" s="1041"/>
      <c r="B369" s="277" t="s">
        <v>2583</v>
      </c>
      <c r="C369" s="277" t="s">
        <v>1713</v>
      </c>
      <c r="D369" s="277" t="s">
        <v>1714</v>
      </c>
      <c r="E369" s="278">
        <v>17000</v>
      </c>
      <c r="F369" s="392">
        <f t="shared" si="5"/>
        <v>17</v>
      </c>
      <c r="G369" s="279" t="s">
        <v>1706</v>
      </c>
    </row>
    <row r="370" spans="1:7" ht="12.9" customHeight="1">
      <c r="A370" s="1041"/>
      <c r="B370" s="277" t="s">
        <v>2584</v>
      </c>
      <c r="C370" s="277" t="s">
        <v>1711</v>
      </c>
      <c r="D370" s="277" t="s">
        <v>1712</v>
      </c>
      <c r="E370" s="278">
        <v>243000</v>
      </c>
      <c r="F370" s="392">
        <f t="shared" si="5"/>
        <v>243</v>
      </c>
      <c r="G370" s="279" t="s">
        <v>1706</v>
      </c>
    </row>
    <row r="371" spans="1:7" ht="12.9" customHeight="1">
      <c r="A371" s="1041"/>
      <c r="B371" s="277" t="s">
        <v>2585</v>
      </c>
      <c r="C371" s="277" t="s">
        <v>1713</v>
      </c>
      <c r="D371" s="277" t="s">
        <v>1714</v>
      </c>
      <c r="E371" s="278">
        <v>24000</v>
      </c>
      <c r="F371" s="392">
        <f t="shared" si="5"/>
        <v>24</v>
      </c>
      <c r="G371" s="279" t="s">
        <v>1706</v>
      </c>
    </row>
    <row r="372" spans="1:7" ht="12.9" customHeight="1">
      <c r="A372" s="1041"/>
      <c r="B372" s="277" t="s">
        <v>2586</v>
      </c>
      <c r="C372" s="277" t="s">
        <v>1713</v>
      </c>
      <c r="D372" s="277" t="s">
        <v>1714</v>
      </c>
      <c r="E372" s="278">
        <v>8000</v>
      </c>
      <c r="F372" s="392">
        <f t="shared" si="5"/>
        <v>8</v>
      </c>
      <c r="G372" s="279" t="s">
        <v>1706</v>
      </c>
    </row>
    <row r="373" spans="1:7" ht="12.9" customHeight="1">
      <c r="A373" s="1041"/>
      <c r="B373" s="277" t="s">
        <v>2588</v>
      </c>
      <c r="C373" s="277" t="s">
        <v>1711</v>
      </c>
      <c r="D373" s="277" t="s">
        <v>1712</v>
      </c>
      <c r="E373" s="278">
        <v>122000</v>
      </c>
      <c r="F373" s="392">
        <f t="shared" si="5"/>
        <v>122</v>
      </c>
      <c r="G373" s="279" t="s">
        <v>1706</v>
      </c>
    </row>
    <row r="374" spans="1:7" ht="12.9" customHeight="1">
      <c r="A374" s="1041"/>
      <c r="B374" s="1045" t="s">
        <v>2589</v>
      </c>
      <c r="C374" s="277" t="s">
        <v>1711</v>
      </c>
      <c r="D374" s="277" t="s">
        <v>1712</v>
      </c>
      <c r="E374" s="278">
        <v>152000</v>
      </c>
      <c r="F374" s="392">
        <f t="shared" si="5"/>
        <v>152</v>
      </c>
      <c r="G374" s="279" t="s">
        <v>1706</v>
      </c>
    </row>
    <row r="375" spans="1:7" ht="12.9" customHeight="1">
      <c r="A375" s="1041"/>
      <c r="B375" s="1045"/>
      <c r="C375" s="277" t="s">
        <v>1713</v>
      </c>
      <c r="D375" s="277" t="s">
        <v>1714</v>
      </c>
      <c r="E375" s="278">
        <v>14000</v>
      </c>
      <c r="F375" s="392">
        <f t="shared" si="5"/>
        <v>14</v>
      </c>
      <c r="G375" s="279" t="s">
        <v>1706</v>
      </c>
    </row>
    <row r="376" spans="1:7" ht="12.9" customHeight="1">
      <c r="A376" s="1041"/>
      <c r="B376" s="277" t="s">
        <v>2590</v>
      </c>
      <c r="C376" s="277" t="s">
        <v>1711</v>
      </c>
      <c r="D376" s="277" t="s">
        <v>1712</v>
      </c>
      <c r="E376" s="278">
        <v>98000</v>
      </c>
      <c r="F376" s="392">
        <f t="shared" si="5"/>
        <v>98</v>
      </c>
      <c r="G376" s="279" t="s">
        <v>1706</v>
      </c>
    </row>
    <row r="377" spans="1:7" ht="12.9" customHeight="1" thickBot="1">
      <c r="A377" s="1043"/>
      <c r="B377" s="291" t="s">
        <v>2591</v>
      </c>
      <c r="C377" s="291" t="s">
        <v>1713</v>
      </c>
      <c r="D377" s="291" t="s">
        <v>1714</v>
      </c>
      <c r="E377" s="292">
        <v>9000</v>
      </c>
      <c r="F377" s="394">
        <f t="shared" si="5"/>
        <v>9</v>
      </c>
      <c r="G377" s="293" t="s">
        <v>1706</v>
      </c>
    </row>
    <row r="378" spans="1:7" s="396" customFormat="1" ht="15" customHeight="1" thickBot="1">
      <c r="A378" s="1079" t="s">
        <v>1234</v>
      </c>
      <c r="B378" s="1080"/>
      <c r="C378" s="1080"/>
      <c r="D378" s="1080"/>
      <c r="E378" s="287">
        <v>34875824.5</v>
      </c>
      <c r="F378" s="301">
        <f>E378/1000</f>
        <v>34875.824500000002</v>
      </c>
      <c r="G378" s="395"/>
    </row>
    <row r="379" spans="1:7">
      <c r="F379" s="290"/>
    </row>
    <row r="380" spans="1:7">
      <c r="A380" s="398" t="s">
        <v>1785</v>
      </c>
    </row>
    <row r="381" spans="1:7">
      <c r="D381" s="399" t="s">
        <v>1789</v>
      </c>
    </row>
  </sheetData>
  <mergeCells count="134">
    <mergeCell ref="A1:G1"/>
    <mergeCell ref="A2:G2"/>
    <mergeCell ref="A5:A10"/>
    <mergeCell ref="B6:B7"/>
    <mergeCell ref="B9:B10"/>
    <mergeCell ref="A11:A38"/>
    <mergeCell ref="B12:B13"/>
    <mergeCell ref="B17:B18"/>
    <mergeCell ref="B21:B22"/>
    <mergeCell ref="B24:B25"/>
    <mergeCell ref="A51:A58"/>
    <mergeCell ref="B53:B54"/>
    <mergeCell ref="B55:B56"/>
    <mergeCell ref="A59:A64"/>
    <mergeCell ref="B59:B60"/>
    <mergeCell ref="B61:B62"/>
    <mergeCell ref="B26:B27"/>
    <mergeCell ref="B28:B29"/>
    <mergeCell ref="B30:B31"/>
    <mergeCell ref="B33:B35"/>
    <mergeCell ref="A39:A50"/>
    <mergeCell ref="B39:B40"/>
    <mergeCell ref="B41:B42"/>
    <mergeCell ref="B46:B47"/>
    <mergeCell ref="B48:B49"/>
    <mergeCell ref="A105:A125"/>
    <mergeCell ref="B105:B106"/>
    <mergeCell ref="B107:B109"/>
    <mergeCell ref="B111:B112"/>
    <mergeCell ref="B116:B117"/>
    <mergeCell ref="B118:B119"/>
    <mergeCell ref="B120:B122"/>
    <mergeCell ref="B89:B91"/>
    <mergeCell ref="B92:B93"/>
    <mergeCell ref="B95:B96"/>
    <mergeCell ref="B97:B98"/>
    <mergeCell ref="B100:B101"/>
    <mergeCell ref="B102:B104"/>
    <mergeCell ref="A65:A104"/>
    <mergeCell ref="B67:B68"/>
    <mergeCell ref="B70:B71"/>
    <mergeCell ref="B73:B74"/>
    <mergeCell ref="B75:B76"/>
    <mergeCell ref="B77:B78"/>
    <mergeCell ref="B79:B80"/>
    <mergeCell ref="B82:B83"/>
    <mergeCell ref="B84:B85"/>
    <mergeCell ref="B86:B88"/>
    <mergeCell ref="A141:A170"/>
    <mergeCell ref="B143:B144"/>
    <mergeCell ref="B145:B147"/>
    <mergeCell ref="B152:B153"/>
    <mergeCell ref="B154:B155"/>
    <mergeCell ref="B163:B164"/>
    <mergeCell ref="B165:B167"/>
    <mergeCell ref="A126:A132"/>
    <mergeCell ref="B126:B127"/>
    <mergeCell ref="B128:B129"/>
    <mergeCell ref="B131:B132"/>
    <mergeCell ref="A133:A140"/>
    <mergeCell ref="B137:B138"/>
    <mergeCell ref="B139:B140"/>
    <mergeCell ref="A171:A184"/>
    <mergeCell ref="B171:B174"/>
    <mergeCell ref="B176:B178"/>
    <mergeCell ref="B179:B180"/>
    <mergeCell ref="B182:B183"/>
    <mergeCell ref="A185:A236"/>
    <mergeCell ref="B185:B186"/>
    <mergeCell ref="B187:B189"/>
    <mergeCell ref="B193:B195"/>
    <mergeCell ref="B196:B200"/>
    <mergeCell ref="B216:B217"/>
    <mergeCell ref="B219:B220"/>
    <mergeCell ref="B221:B222"/>
    <mergeCell ref="B223:B225"/>
    <mergeCell ref="B226:B227"/>
    <mergeCell ref="A237:A238"/>
    <mergeCell ref="B201:B203"/>
    <mergeCell ref="B204:B205"/>
    <mergeCell ref="B206:B207"/>
    <mergeCell ref="B208:B209"/>
    <mergeCell ref="B210:B213"/>
    <mergeCell ref="B214:B215"/>
    <mergeCell ref="A239:A249"/>
    <mergeCell ref="B239:B240"/>
    <mergeCell ref="B243:B244"/>
    <mergeCell ref="B245:B246"/>
    <mergeCell ref="B248:B249"/>
    <mergeCell ref="A296:A298"/>
    <mergeCell ref="B296:B297"/>
    <mergeCell ref="B263:B264"/>
    <mergeCell ref="B265:B266"/>
    <mergeCell ref="B267:B268"/>
    <mergeCell ref="B270:B271"/>
    <mergeCell ref="B274:B276"/>
    <mergeCell ref="B278:B279"/>
    <mergeCell ref="A299:A311"/>
    <mergeCell ref="B299:B300"/>
    <mergeCell ref="B304:B305"/>
    <mergeCell ref="B306:B307"/>
    <mergeCell ref="B310:B311"/>
    <mergeCell ref="A250:A285"/>
    <mergeCell ref="B251:B252"/>
    <mergeCell ref="B253:B256"/>
    <mergeCell ref="B258:B259"/>
    <mergeCell ref="B260:B261"/>
    <mergeCell ref="B280:B282"/>
    <mergeCell ref="B283:B284"/>
    <mergeCell ref="A286:A295"/>
    <mergeCell ref="B286:B287"/>
    <mergeCell ref="B291:B293"/>
    <mergeCell ref="A312:A335"/>
    <mergeCell ref="B312:B314"/>
    <mergeCell ref="B318:B320"/>
    <mergeCell ref="B322:B323"/>
    <mergeCell ref="B325:B326"/>
    <mergeCell ref="A378:D378"/>
    <mergeCell ref="A352:A364"/>
    <mergeCell ref="B353:B355"/>
    <mergeCell ref="B356:B357"/>
    <mergeCell ref="B358:B360"/>
    <mergeCell ref="B363:B364"/>
    <mergeCell ref="A365:A377"/>
    <mergeCell ref="B374:B375"/>
    <mergeCell ref="B327:B329"/>
    <mergeCell ref="B331:B332"/>
    <mergeCell ref="B334:B335"/>
    <mergeCell ref="A336:A351"/>
    <mergeCell ref="B337:B338"/>
    <mergeCell ref="B339:B340"/>
    <mergeCell ref="B343:B345"/>
    <mergeCell ref="B346:B347"/>
    <mergeCell ref="B348:B349"/>
  </mergeCells>
  <pageMargins left="0.78740157499999996" right="0.78740157499999996" top="0.984251969" bottom="0.984251969" header="0.4921259845" footer="0.4921259845"/>
  <pageSetup paperSize="9" scale="84" orientation="portrait" r:id="rId1"/>
  <headerFooter alignWithMargins="0">
    <oddHeader>&amp;LPříloha č. 14&amp;CZávěrečný účet Plzeňského kraje za rok 2010</oddHeader>
    <oddFooter>&amp;LKrajský úřad Plzeňského kraje
Odbor ekonomický&amp;C&amp;P&amp;R&amp;D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9"/>
  <sheetViews>
    <sheetView topLeftCell="A18" zoomScale="115" zoomScaleNormal="115" workbookViewId="0">
      <selection activeCell="F42" sqref="F42"/>
    </sheetView>
  </sheetViews>
  <sheetFormatPr defaultRowHeight="13.2"/>
  <cols>
    <col min="1" max="1" width="9.44140625" style="401" bestFit="1" customWidth="1"/>
    <col min="2" max="2" width="19.88671875" style="401" bestFit="1" customWidth="1"/>
    <col min="3" max="3" width="39.109375" style="401" bestFit="1" customWidth="1"/>
    <col min="4" max="4" width="7.88671875" style="401" bestFit="1" customWidth="1"/>
    <col min="5" max="5" width="17" style="401" hidden="1" customWidth="1"/>
    <col min="6" max="6" width="11.109375" style="401" bestFit="1" customWidth="1"/>
    <col min="7" max="256" width="9.109375" style="401"/>
    <col min="257" max="257" width="9.44140625" style="401" bestFit="1" customWidth="1"/>
    <col min="258" max="258" width="19.88671875" style="401" bestFit="1" customWidth="1"/>
    <col min="259" max="259" width="39.109375" style="401" bestFit="1" customWidth="1"/>
    <col min="260" max="260" width="7.88671875" style="401" bestFit="1" customWidth="1"/>
    <col min="261" max="261" width="0" style="401" hidden="1" customWidth="1"/>
    <col min="262" max="262" width="11.109375" style="401" bestFit="1" customWidth="1"/>
    <col min="263" max="512" width="9.109375" style="401"/>
    <col min="513" max="513" width="9.44140625" style="401" bestFit="1" customWidth="1"/>
    <col min="514" max="514" width="19.88671875" style="401" bestFit="1" customWidth="1"/>
    <col min="515" max="515" width="39.109375" style="401" bestFit="1" customWidth="1"/>
    <col min="516" max="516" width="7.88671875" style="401" bestFit="1" customWidth="1"/>
    <col min="517" max="517" width="0" style="401" hidden="1" customWidth="1"/>
    <col min="518" max="518" width="11.109375" style="401" bestFit="1" customWidth="1"/>
    <col min="519" max="768" width="9.109375" style="401"/>
    <col min="769" max="769" width="9.44140625" style="401" bestFit="1" customWidth="1"/>
    <col min="770" max="770" width="19.88671875" style="401" bestFit="1" customWidth="1"/>
    <col min="771" max="771" width="39.109375" style="401" bestFit="1" customWidth="1"/>
    <col min="772" max="772" width="7.88671875" style="401" bestFit="1" customWidth="1"/>
    <col min="773" max="773" width="0" style="401" hidden="1" customWidth="1"/>
    <col min="774" max="774" width="11.109375" style="401" bestFit="1" customWidth="1"/>
    <col min="775" max="1024" width="9.109375" style="401"/>
    <col min="1025" max="1025" width="9.44140625" style="401" bestFit="1" customWidth="1"/>
    <col min="1026" max="1026" width="19.88671875" style="401" bestFit="1" customWidth="1"/>
    <col min="1027" max="1027" width="39.109375" style="401" bestFit="1" customWidth="1"/>
    <col min="1028" max="1028" width="7.88671875" style="401" bestFit="1" customWidth="1"/>
    <col min="1029" max="1029" width="0" style="401" hidden="1" customWidth="1"/>
    <col min="1030" max="1030" width="11.109375" style="401" bestFit="1" customWidth="1"/>
    <col min="1031" max="1280" width="9.109375" style="401"/>
    <col min="1281" max="1281" width="9.44140625" style="401" bestFit="1" customWidth="1"/>
    <col min="1282" max="1282" width="19.88671875" style="401" bestFit="1" customWidth="1"/>
    <col min="1283" max="1283" width="39.109375" style="401" bestFit="1" customWidth="1"/>
    <col min="1284" max="1284" width="7.88671875" style="401" bestFit="1" customWidth="1"/>
    <col min="1285" max="1285" width="0" style="401" hidden="1" customWidth="1"/>
    <col min="1286" max="1286" width="11.109375" style="401" bestFit="1" customWidth="1"/>
    <col min="1287" max="1536" width="9.109375" style="401"/>
    <col min="1537" max="1537" width="9.44140625" style="401" bestFit="1" customWidth="1"/>
    <col min="1538" max="1538" width="19.88671875" style="401" bestFit="1" customWidth="1"/>
    <col min="1539" max="1539" width="39.109375" style="401" bestFit="1" customWidth="1"/>
    <col min="1540" max="1540" width="7.88671875" style="401" bestFit="1" customWidth="1"/>
    <col min="1541" max="1541" width="0" style="401" hidden="1" customWidth="1"/>
    <col min="1542" max="1542" width="11.109375" style="401" bestFit="1" customWidth="1"/>
    <col min="1543" max="1792" width="9.109375" style="401"/>
    <col min="1793" max="1793" width="9.44140625" style="401" bestFit="1" customWidth="1"/>
    <col min="1794" max="1794" width="19.88671875" style="401" bestFit="1" customWidth="1"/>
    <col min="1795" max="1795" width="39.109375" style="401" bestFit="1" customWidth="1"/>
    <col min="1796" max="1796" width="7.88671875" style="401" bestFit="1" customWidth="1"/>
    <col min="1797" max="1797" width="0" style="401" hidden="1" customWidth="1"/>
    <col min="1798" max="1798" width="11.109375" style="401" bestFit="1" customWidth="1"/>
    <col min="1799" max="2048" width="9.109375" style="401"/>
    <col min="2049" max="2049" width="9.44140625" style="401" bestFit="1" customWidth="1"/>
    <col min="2050" max="2050" width="19.88671875" style="401" bestFit="1" customWidth="1"/>
    <col min="2051" max="2051" width="39.109375" style="401" bestFit="1" customWidth="1"/>
    <col min="2052" max="2052" width="7.88671875" style="401" bestFit="1" customWidth="1"/>
    <col min="2053" max="2053" width="0" style="401" hidden="1" customWidth="1"/>
    <col min="2054" max="2054" width="11.109375" style="401" bestFit="1" customWidth="1"/>
    <col min="2055" max="2304" width="9.109375" style="401"/>
    <col min="2305" max="2305" width="9.44140625" style="401" bestFit="1" customWidth="1"/>
    <col min="2306" max="2306" width="19.88671875" style="401" bestFit="1" customWidth="1"/>
    <col min="2307" max="2307" width="39.109375" style="401" bestFit="1" customWidth="1"/>
    <col min="2308" max="2308" width="7.88671875" style="401" bestFit="1" customWidth="1"/>
    <col min="2309" max="2309" width="0" style="401" hidden="1" customWidth="1"/>
    <col min="2310" max="2310" width="11.109375" style="401" bestFit="1" customWidth="1"/>
    <col min="2311" max="2560" width="9.109375" style="401"/>
    <col min="2561" max="2561" width="9.44140625" style="401" bestFit="1" customWidth="1"/>
    <col min="2562" max="2562" width="19.88671875" style="401" bestFit="1" customWidth="1"/>
    <col min="2563" max="2563" width="39.109375" style="401" bestFit="1" customWidth="1"/>
    <col min="2564" max="2564" width="7.88671875" style="401" bestFit="1" customWidth="1"/>
    <col min="2565" max="2565" width="0" style="401" hidden="1" customWidth="1"/>
    <col min="2566" max="2566" width="11.109375" style="401" bestFit="1" customWidth="1"/>
    <col min="2567" max="2816" width="9.109375" style="401"/>
    <col min="2817" max="2817" width="9.44140625" style="401" bestFit="1" customWidth="1"/>
    <col min="2818" max="2818" width="19.88671875" style="401" bestFit="1" customWidth="1"/>
    <col min="2819" max="2819" width="39.109375" style="401" bestFit="1" customWidth="1"/>
    <col min="2820" max="2820" width="7.88671875" style="401" bestFit="1" customWidth="1"/>
    <col min="2821" max="2821" width="0" style="401" hidden="1" customWidth="1"/>
    <col min="2822" max="2822" width="11.109375" style="401" bestFit="1" customWidth="1"/>
    <col min="2823" max="3072" width="9.109375" style="401"/>
    <col min="3073" max="3073" width="9.44140625" style="401" bestFit="1" customWidth="1"/>
    <col min="3074" max="3074" width="19.88671875" style="401" bestFit="1" customWidth="1"/>
    <col min="3075" max="3075" width="39.109375" style="401" bestFit="1" customWidth="1"/>
    <col min="3076" max="3076" width="7.88671875" style="401" bestFit="1" customWidth="1"/>
    <col min="3077" max="3077" width="0" style="401" hidden="1" customWidth="1"/>
    <col min="3078" max="3078" width="11.109375" style="401" bestFit="1" customWidth="1"/>
    <col min="3079" max="3328" width="9.109375" style="401"/>
    <col min="3329" max="3329" width="9.44140625" style="401" bestFit="1" customWidth="1"/>
    <col min="3330" max="3330" width="19.88671875" style="401" bestFit="1" customWidth="1"/>
    <col min="3331" max="3331" width="39.109375" style="401" bestFit="1" customWidth="1"/>
    <col min="3332" max="3332" width="7.88671875" style="401" bestFit="1" customWidth="1"/>
    <col min="3333" max="3333" width="0" style="401" hidden="1" customWidth="1"/>
    <col min="3334" max="3334" width="11.109375" style="401" bestFit="1" customWidth="1"/>
    <col min="3335" max="3584" width="9.109375" style="401"/>
    <col min="3585" max="3585" width="9.44140625" style="401" bestFit="1" customWidth="1"/>
    <col min="3586" max="3586" width="19.88671875" style="401" bestFit="1" customWidth="1"/>
    <col min="3587" max="3587" width="39.109375" style="401" bestFit="1" customWidth="1"/>
    <col min="3588" max="3588" width="7.88671875" style="401" bestFit="1" customWidth="1"/>
    <col min="3589" max="3589" width="0" style="401" hidden="1" customWidth="1"/>
    <col min="3590" max="3590" width="11.109375" style="401" bestFit="1" customWidth="1"/>
    <col min="3591" max="3840" width="9.109375" style="401"/>
    <col min="3841" max="3841" width="9.44140625" style="401" bestFit="1" customWidth="1"/>
    <col min="3842" max="3842" width="19.88671875" style="401" bestFit="1" customWidth="1"/>
    <col min="3843" max="3843" width="39.109375" style="401" bestFit="1" customWidth="1"/>
    <col min="3844" max="3844" width="7.88671875" style="401" bestFit="1" customWidth="1"/>
    <col min="3845" max="3845" width="0" style="401" hidden="1" customWidth="1"/>
    <col min="3846" max="3846" width="11.109375" style="401" bestFit="1" customWidth="1"/>
    <col min="3847" max="4096" width="9.109375" style="401"/>
    <col min="4097" max="4097" width="9.44140625" style="401" bestFit="1" customWidth="1"/>
    <col min="4098" max="4098" width="19.88671875" style="401" bestFit="1" customWidth="1"/>
    <col min="4099" max="4099" width="39.109375" style="401" bestFit="1" customWidth="1"/>
    <col min="4100" max="4100" width="7.88671875" style="401" bestFit="1" customWidth="1"/>
    <col min="4101" max="4101" width="0" style="401" hidden="1" customWidth="1"/>
    <col min="4102" max="4102" width="11.109375" style="401" bestFit="1" customWidth="1"/>
    <col min="4103" max="4352" width="9.109375" style="401"/>
    <col min="4353" max="4353" width="9.44140625" style="401" bestFit="1" customWidth="1"/>
    <col min="4354" max="4354" width="19.88671875" style="401" bestFit="1" customWidth="1"/>
    <col min="4355" max="4355" width="39.109375" style="401" bestFit="1" customWidth="1"/>
    <col min="4356" max="4356" width="7.88671875" style="401" bestFit="1" customWidth="1"/>
    <col min="4357" max="4357" width="0" style="401" hidden="1" customWidth="1"/>
    <col min="4358" max="4358" width="11.109375" style="401" bestFit="1" customWidth="1"/>
    <col min="4359" max="4608" width="9.109375" style="401"/>
    <col min="4609" max="4609" width="9.44140625" style="401" bestFit="1" customWidth="1"/>
    <col min="4610" max="4610" width="19.88671875" style="401" bestFit="1" customWidth="1"/>
    <col min="4611" max="4611" width="39.109375" style="401" bestFit="1" customWidth="1"/>
    <col min="4612" max="4612" width="7.88671875" style="401" bestFit="1" customWidth="1"/>
    <col min="4613" max="4613" width="0" style="401" hidden="1" customWidth="1"/>
    <col min="4614" max="4614" width="11.109375" style="401" bestFit="1" customWidth="1"/>
    <col min="4615" max="4864" width="9.109375" style="401"/>
    <col min="4865" max="4865" width="9.44140625" style="401" bestFit="1" customWidth="1"/>
    <col min="4866" max="4866" width="19.88671875" style="401" bestFit="1" customWidth="1"/>
    <col min="4867" max="4867" width="39.109375" style="401" bestFit="1" customWidth="1"/>
    <col min="4868" max="4868" width="7.88671875" style="401" bestFit="1" customWidth="1"/>
    <col min="4869" max="4869" width="0" style="401" hidden="1" customWidth="1"/>
    <col min="4870" max="4870" width="11.109375" style="401" bestFit="1" customWidth="1"/>
    <col min="4871" max="5120" width="9.109375" style="401"/>
    <col min="5121" max="5121" width="9.44140625" style="401" bestFit="1" customWidth="1"/>
    <col min="5122" max="5122" width="19.88671875" style="401" bestFit="1" customWidth="1"/>
    <col min="5123" max="5123" width="39.109375" style="401" bestFit="1" customWidth="1"/>
    <col min="5124" max="5124" width="7.88671875" style="401" bestFit="1" customWidth="1"/>
    <col min="5125" max="5125" width="0" style="401" hidden="1" customWidth="1"/>
    <col min="5126" max="5126" width="11.109375" style="401" bestFit="1" customWidth="1"/>
    <col min="5127" max="5376" width="9.109375" style="401"/>
    <col min="5377" max="5377" width="9.44140625" style="401" bestFit="1" customWidth="1"/>
    <col min="5378" max="5378" width="19.88671875" style="401" bestFit="1" customWidth="1"/>
    <col min="5379" max="5379" width="39.109375" style="401" bestFit="1" customWidth="1"/>
    <col min="5380" max="5380" width="7.88671875" style="401" bestFit="1" customWidth="1"/>
    <col min="5381" max="5381" width="0" style="401" hidden="1" customWidth="1"/>
    <col min="5382" max="5382" width="11.109375" style="401" bestFit="1" customWidth="1"/>
    <col min="5383" max="5632" width="9.109375" style="401"/>
    <col min="5633" max="5633" width="9.44140625" style="401" bestFit="1" customWidth="1"/>
    <col min="5634" max="5634" width="19.88671875" style="401" bestFit="1" customWidth="1"/>
    <col min="5635" max="5635" width="39.109375" style="401" bestFit="1" customWidth="1"/>
    <col min="5636" max="5636" width="7.88671875" style="401" bestFit="1" customWidth="1"/>
    <col min="5637" max="5637" width="0" style="401" hidden="1" customWidth="1"/>
    <col min="5638" max="5638" width="11.109375" style="401" bestFit="1" customWidth="1"/>
    <col min="5639" max="5888" width="9.109375" style="401"/>
    <col min="5889" max="5889" width="9.44140625" style="401" bestFit="1" customWidth="1"/>
    <col min="5890" max="5890" width="19.88671875" style="401" bestFit="1" customWidth="1"/>
    <col min="5891" max="5891" width="39.109375" style="401" bestFit="1" customWidth="1"/>
    <col min="5892" max="5892" width="7.88671875" style="401" bestFit="1" customWidth="1"/>
    <col min="5893" max="5893" width="0" style="401" hidden="1" customWidth="1"/>
    <col min="5894" max="5894" width="11.109375" style="401" bestFit="1" customWidth="1"/>
    <col min="5895" max="6144" width="9.109375" style="401"/>
    <col min="6145" max="6145" width="9.44140625" style="401" bestFit="1" customWidth="1"/>
    <col min="6146" max="6146" width="19.88671875" style="401" bestFit="1" customWidth="1"/>
    <col min="6147" max="6147" width="39.109375" style="401" bestFit="1" customWidth="1"/>
    <col min="6148" max="6148" width="7.88671875" style="401" bestFit="1" customWidth="1"/>
    <col min="6149" max="6149" width="0" style="401" hidden="1" customWidth="1"/>
    <col min="6150" max="6150" width="11.109375" style="401" bestFit="1" customWidth="1"/>
    <col min="6151" max="6400" width="9.109375" style="401"/>
    <col min="6401" max="6401" width="9.44140625" style="401" bestFit="1" customWidth="1"/>
    <col min="6402" max="6402" width="19.88671875" style="401" bestFit="1" customWidth="1"/>
    <col min="6403" max="6403" width="39.109375" style="401" bestFit="1" customWidth="1"/>
    <col min="6404" max="6404" width="7.88671875" style="401" bestFit="1" customWidth="1"/>
    <col min="6405" max="6405" width="0" style="401" hidden="1" customWidth="1"/>
    <col min="6406" max="6406" width="11.109375" style="401" bestFit="1" customWidth="1"/>
    <col min="6407" max="6656" width="9.109375" style="401"/>
    <col min="6657" max="6657" width="9.44140625" style="401" bestFit="1" customWidth="1"/>
    <col min="6658" max="6658" width="19.88671875" style="401" bestFit="1" customWidth="1"/>
    <col min="6659" max="6659" width="39.109375" style="401" bestFit="1" customWidth="1"/>
    <col min="6660" max="6660" width="7.88671875" style="401" bestFit="1" customWidth="1"/>
    <col min="6661" max="6661" width="0" style="401" hidden="1" customWidth="1"/>
    <col min="6662" max="6662" width="11.109375" style="401" bestFit="1" customWidth="1"/>
    <col min="6663" max="6912" width="9.109375" style="401"/>
    <col min="6913" max="6913" width="9.44140625" style="401" bestFit="1" customWidth="1"/>
    <col min="6914" max="6914" width="19.88671875" style="401" bestFit="1" customWidth="1"/>
    <col min="6915" max="6915" width="39.109375" style="401" bestFit="1" customWidth="1"/>
    <col min="6916" max="6916" width="7.88671875" style="401" bestFit="1" customWidth="1"/>
    <col min="6917" max="6917" width="0" style="401" hidden="1" customWidth="1"/>
    <col min="6918" max="6918" width="11.109375" style="401" bestFit="1" customWidth="1"/>
    <col min="6919" max="7168" width="9.109375" style="401"/>
    <col min="7169" max="7169" width="9.44140625" style="401" bestFit="1" customWidth="1"/>
    <col min="7170" max="7170" width="19.88671875" style="401" bestFit="1" customWidth="1"/>
    <col min="7171" max="7171" width="39.109375" style="401" bestFit="1" customWidth="1"/>
    <col min="7172" max="7172" width="7.88671875" style="401" bestFit="1" customWidth="1"/>
    <col min="7173" max="7173" width="0" style="401" hidden="1" customWidth="1"/>
    <col min="7174" max="7174" width="11.109375" style="401" bestFit="1" customWidth="1"/>
    <col min="7175" max="7424" width="9.109375" style="401"/>
    <col min="7425" max="7425" width="9.44140625" style="401" bestFit="1" customWidth="1"/>
    <col min="7426" max="7426" width="19.88671875" style="401" bestFit="1" customWidth="1"/>
    <col min="7427" max="7427" width="39.109375" style="401" bestFit="1" customWidth="1"/>
    <col min="7428" max="7428" width="7.88671875" style="401" bestFit="1" customWidth="1"/>
    <col min="7429" max="7429" width="0" style="401" hidden="1" customWidth="1"/>
    <col min="7430" max="7430" width="11.109375" style="401" bestFit="1" customWidth="1"/>
    <col min="7431" max="7680" width="9.109375" style="401"/>
    <col min="7681" max="7681" width="9.44140625" style="401" bestFit="1" customWidth="1"/>
    <col min="7682" max="7682" width="19.88671875" style="401" bestFit="1" customWidth="1"/>
    <col min="7683" max="7683" width="39.109375" style="401" bestFit="1" customWidth="1"/>
    <col min="7684" max="7684" width="7.88671875" style="401" bestFit="1" customWidth="1"/>
    <col min="7685" max="7685" width="0" style="401" hidden="1" customWidth="1"/>
    <col min="7686" max="7686" width="11.109375" style="401" bestFit="1" customWidth="1"/>
    <col min="7687" max="7936" width="9.109375" style="401"/>
    <col min="7937" max="7937" width="9.44140625" style="401" bestFit="1" customWidth="1"/>
    <col min="7938" max="7938" width="19.88671875" style="401" bestFit="1" customWidth="1"/>
    <col min="7939" max="7939" width="39.109375" style="401" bestFit="1" customWidth="1"/>
    <col min="7940" max="7940" width="7.88671875" style="401" bestFit="1" customWidth="1"/>
    <col min="7941" max="7941" width="0" style="401" hidden="1" customWidth="1"/>
    <col min="7942" max="7942" width="11.109375" style="401" bestFit="1" customWidth="1"/>
    <col min="7943" max="8192" width="9.109375" style="401"/>
    <col min="8193" max="8193" width="9.44140625" style="401" bestFit="1" customWidth="1"/>
    <col min="8194" max="8194" width="19.88671875" style="401" bestFit="1" customWidth="1"/>
    <col min="8195" max="8195" width="39.109375" style="401" bestFit="1" customWidth="1"/>
    <col min="8196" max="8196" width="7.88671875" style="401" bestFit="1" customWidth="1"/>
    <col min="8197" max="8197" width="0" style="401" hidden="1" customWidth="1"/>
    <col min="8198" max="8198" width="11.109375" style="401" bestFit="1" customWidth="1"/>
    <col min="8199" max="8448" width="9.109375" style="401"/>
    <col min="8449" max="8449" width="9.44140625" style="401" bestFit="1" customWidth="1"/>
    <col min="8450" max="8450" width="19.88671875" style="401" bestFit="1" customWidth="1"/>
    <col min="8451" max="8451" width="39.109375" style="401" bestFit="1" customWidth="1"/>
    <col min="8452" max="8452" width="7.88671875" style="401" bestFit="1" customWidth="1"/>
    <col min="8453" max="8453" width="0" style="401" hidden="1" customWidth="1"/>
    <col min="8454" max="8454" width="11.109375" style="401" bestFit="1" customWidth="1"/>
    <col min="8455" max="8704" width="9.109375" style="401"/>
    <col min="8705" max="8705" width="9.44140625" style="401" bestFit="1" customWidth="1"/>
    <col min="8706" max="8706" width="19.88671875" style="401" bestFit="1" customWidth="1"/>
    <col min="8707" max="8707" width="39.109375" style="401" bestFit="1" customWidth="1"/>
    <col min="8708" max="8708" width="7.88671875" style="401" bestFit="1" customWidth="1"/>
    <col min="8709" max="8709" width="0" style="401" hidden="1" customWidth="1"/>
    <col min="8710" max="8710" width="11.109375" style="401" bestFit="1" customWidth="1"/>
    <col min="8711" max="8960" width="9.109375" style="401"/>
    <col min="8961" max="8961" width="9.44140625" style="401" bestFit="1" customWidth="1"/>
    <col min="8962" max="8962" width="19.88671875" style="401" bestFit="1" customWidth="1"/>
    <col min="8963" max="8963" width="39.109375" style="401" bestFit="1" customWidth="1"/>
    <col min="8964" max="8964" width="7.88671875" style="401" bestFit="1" customWidth="1"/>
    <col min="8965" max="8965" width="0" style="401" hidden="1" customWidth="1"/>
    <col min="8966" max="8966" width="11.109375" style="401" bestFit="1" customWidth="1"/>
    <col min="8967" max="9216" width="9.109375" style="401"/>
    <col min="9217" max="9217" width="9.44140625" style="401" bestFit="1" customWidth="1"/>
    <col min="9218" max="9218" width="19.88671875" style="401" bestFit="1" customWidth="1"/>
    <col min="9219" max="9219" width="39.109375" style="401" bestFit="1" customWidth="1"/>
    <col min="9220" max="9220" width="7.88671875" style="401" bestFit="1" customWidth="1"/>
    <col min="9221" max="9221" width="0" style="401" hidden="1" customWidth="1"/>
    <col min="9222" max="9222" width="11.109375" style="401" bestFit="1" customWidth="1"/>
    <col min="9223" max="9472" width="9.109375" style="401"/>
    <col min="9473" max="9473" width="9.44140625" style="401" bestFit="1" customWidth="1"/>
    <col min="9474" max="9474" width="19.88671875" style="401" bestFit="1" customWidth="1"/>
    <col min="9475" max="9475" width="39.109375" style="401" bestFit="1" customWidth="1"/>
    <col min="9476" max="9476" width="7.88671875" style="401" bestFit="1" customWidth="1"/>
    <col min="9477" max="9477" width="0" style="401" hidden="1" customWidth="1"/>
    <col min="9478" max="9478" width="11.109375" style="401" bestFit="1" customWidth="1"/>
    <col min="9479" max="9728" width="9.109375" style="401"/>
    <col min="9729" max="9729" width="9.44140625" style="401" bestFit="1" customWidth="1"/>
    <col min="9730" max="9730" width="19.88671875" style="401" bestFit="1" customWidth="1"/>
    <col min="9731" max="9731" width="39.109375" style="401" bestFit="1" customWidth="1"/>
    <col min="9732" max="9732" width="7.88671875" style="401" bestFit="1" customWidth="1"/>
    <col min="9733" max="9733" width="0" style="401" hidden="1" customWidth="1"/>
    <col min="9734" max="9734" width="11.109375" style="401" bestFit="1" customWidth="1"/>
    <col min="9735" max="9984" width="9.109375" style="401"/>
    <col min="9985" max="9985" width="9.44140625" style="401" bestFit="1" customWidth="1"/>
    <col min="9986" max="9986" width="19.88671875" style="401" bestFit="1" customWidth="1"/>
    <col min="9987" max="9987" width="39.109375" style="401" bestFit="1" customWidth="1"/>
    <col min="9988" max="9988" width="7.88671875" style="401" bestFit="1" customWidth="1"/>
    <col min="9989" max="9989" width="0" style="401" hidden="1" customWidth="1"/>
    <col min="9990" max="9990" width="11.109375" style="401" bestFit="1" customWidth="1"/>
    <col min="9991" max="10240" width="9.109375" style="401"/>
    <col min="10241" max="10241" width="9.44140625" style="401" bestFit="1" customWidth="1"/>
    <col min="10242" max="10242" width="19.88671875" style="401" bestFit="1" customWidth="1"/>
    <col min="10243" max="10243" width="39.109375" style="401" bestFit="1" customWidth="1"/>
    <col min="10244" max="10244" width="7.88671875" style="401" bestFit="1" customWidth="1"/>
    <col min="10245" max="10245" width="0" style="401" hidden="1" customWidth="1"/>
    <col min="10246" max="10246" width="11.109375" style="401" bestFit="1" customWidth="1"/>
    <col min="10247" max="10496" width="9.109375" style="401"/>
    <col min="10497" max="10497" width="9.44140625" style="401" bestFit="1" customWidth="1"/>
    <col min="10498" max="10498" width="19.88671875" style="401" bestFit="1" customWidth="1"/>
    <col min="10499" max="10499" width="39.109375" style="401" bestFit="1" customWidth="1"/>
    <col min="10500" max="10500" width="7.88671875" style="401" bestFit="1" customWidth="1"/>
    <col min="10501" max="10501" width="0" style="401" hidden="1" customWidth="1"/>
    <col min="10502" max="10502" width="11.109375" style="401" bestFit="1" customWidth="1"/>
    <col min="10503" max="10752" width="9.109375" style="401"/>
    <col min="10753" max="10753" width="9.44140625" style="401" bestFit="1" customWidth="1"/>
    <col min="10754" max="10754" width="19.88671875" style="401" bestFit="1" customWidth="1"/>
    <col min="10755" max="10755" width="39.109375" style="401" bestFit="1" customWidth="1"/>
    <col min="10756" max="10756" width="7.88671875" style="401" bestFit="1" customWidth="1"/>
    <col min="10757" max="10757" width="0" style="401" hidden="1" customWidth="1"/>
    <col min="10758" max="10758" width="11.109375" style="401" bestFit="1" customWidth="1"/>
    <col min="10759" max="11008" width="9.109375" style="401"/>
    <col min="11009" max="11009" width="9.44140625" style="401" bestFit="1" customWidth="1"/>
    <col min="11010" max="11010" width="19.88671875" style="401" bestFit="1" customWidth="1"/>
    <col min="11011" max="11011" width="39.109375" style="401" bestFit="1" customWidth="1"/>
    <col min="11012" max="11012" width="7.88671875" style="401" bestFit="1" customWidth="1"/>
    <col min="11013" max="11013" width="0" style="401" hidden="1" customWidth="1"/>
    <col min="11014" max="11014" width="11.109375" style="401" bestFit="1" customWidth="1"/>
    <col min="11015" max="11264" width="9.109375" style="401"/>
    <col min="11265" max="11265" width="9.44140625" style="401" bestFit="1" customWidth="1"/>
    <col min="11266" max="11266" width="19.88671875" style="401" bestFit="1" customWidth="1"/>
    <col min="11267" max="11267" width="39.109375" style="401" bestFit="1" customWidth="1"/>
    <col min="11268" max="11268" width="7.88671875" style="401" bestFit="1" customWidth="1"/>
    <col min="11269" max="11269" width="0" style="401" hidden="1" customWidth="1"/>
    <col min="11270" max="11270" width="11.109375" style="401" bestFit="1" customWidth="1"/>
    <col min="11271" max="11520" width="9.109375" style="401"/>
    <col min="11521" max="11521" width="9.44140625" style="401" bestFit="1" customWidth="1"/>
    <col min="11522" max="11522" width="19.88671875" style="401" bestFit="1" customWidth="1"/>
    <col min="11523" max="11523" width="39.109375" style="401" bestFit="1" customWidth="1"/>
    <col min="11524" max="11524" width="7.88671875" style="401" bestFit="1" customWidth="1"/>
    <col min="11525" max="11525" width="0" style="401" hidden="1" customWidth="1"/>
    <col min="11526" max="11526" width="11.109375" style="401" bestFit="1" customWidth="1"/>
    <col min="11527" max="11776" width="9.109375" style="401"/>
    <col min="11777" max="11777" width="9.44140625" style="401" bestFit="1" customWidth="1"/>
    <col min="11778" max="11778" width="19.88671875" style="401" bestFit="1" customWidth="1"/>
    <col min="11779" max="11779" width="39.109375" style="401" bestFit="1" customWidth="1"/>
    <col min="11780" max="11780" width="7.88671875" style="401" bestFit="1" customWidth="1"/>
    <col min="11781" max="11781" width="0" style="401" hidden="1" customWidth="1"/>
    <col min="11782" max="11782" width="11.109375" style="401" bestFit="1" customWidth="1"/>
    <col min="11783" max="12032" width="9.109375" style="401"/>
    <col min="12033" max="12033" width="9.44140625" style="401" bestFit="1" customWidth="1"/>
    <col min="12034" max="12034" width="19.88671875" style="401" bestFit="1" customWidth="1"/>
    <col min="12035" max="12035" width="39.109375" style="401" bestFit="1" customWidth="1"/>
    <col min="12036" max="12036" width="7.88671875" style="401" bestFit="1" customWidth="1"/>
    <col min="12037" max="12037" width="0" style="401" hidden="1" customWidth="1"/>
    <col min="12038" max="12038" width="11.109375" style="401" bestFit="1" customWidth="1"/>
    <col min="12039" max="12288" width="9.109375" style="401"/>
    <col min="12289" max="12289" width="9.44140625" style="401" bestFit="1" customWidth="1"/>
    <col min="12290" max="12290" width="19.88671875" style="401" bestFit="1" customWidth="1"/>
    <col min="12291" max="12291" width="39.109375" style="401" bestFit="1" customWidth="1"/>
    <col min="12292" max="12292" width="7.88671875" style="401" bestFit="1" customWidth="1"/>
    <col min="12293" max="12293" width="0" style="401" hidden="1" customWidth="1"/>
    <col min="12294" max="12294" width="11.109375" style="401" bestFit="1" customWidth="1"/>
    <col min="12295" max="12544" width="9.109375" style="401"/>
    <col min="12545" max="12545" width="9.44140625" style="401" bestFit="1" customWidth="1"/>
    <col min="12546" max="12546" width="19.88671875" style="401" bestFit="1" customWidth="1"/>
    <col min="12547" max="12547" width="39.109375" style="401" bestFit="1" customWidth="1"/>
    <col min="12548" max="12548" width="7.88671875" style="401" bestFit="1" customWidth="1"/>
    <col min="12549" max="12549" width="0" style="401" hidden="1" customWidth="1"/>
    <col min="12550" max="12550" width="11.109375" style="401" bestFit="1" customWidth="1"/>
    <col min="12551" max="12800" width="9.109375" style="401"/>
    <col min="12801" max="12801" width="9.44140625" style="401" bestFit="1" customWidth="1"/>
    <col min="12802" max="12802" width="19.88671875" style="401" bestFit="1" customWidth="1"/>
    <col min="12803" max="12803" width="39.109375" style="401" bestFit="1" customWidth="1"/>
    <col min="12804" max="12804" width="7.88671875" style="401" bestFit="1" customWidth="1"/>
    <col min="12805" max="12805" width="0" style="401" hidden="1" customWidth="1"/>
    <col min="12806" max="12806" width="11.109375" style="401" bestFit="1" customWidth="1"/>
    <col min="12807" max="13056" width="9.109375" style="401"/>
    <col min="13057" max="13057" width="9.44140625" style="401" bestFit="1" customWidth="1"/>
    <col min="13058" max="13058" width="19.88671875" style="401" bestFit="1" customWidth="1"/>
    <col min="13059" max="13059" width="39.109375" style="401" bestFit="1" customWidth="1"/>
    <col min="13060" max="13060" width="7.88671875" style="401" bestFit="1" customWidth="1"/>
    <col min="13061" max="13061" width="0" style="401" hidden="1" customWidth="1"/>
    <col min="13062" max="13062" width="11.109375" style="401" bestFit="1" customWidth="1"/>
    <col min="13063" max="13312" width="9.109375" style="401"/>
    <col min="13313" max="13313" width="9.44140625" style="401" bestFit="1" customWidth="1"/>
    <col min="13314" max="13314" width="19.88671875" style="401" bestFit="1" customWidth="1"/>
    <col min="13315" max="13315" width="39.109375" style="401" bestFit="1" customWidth="1"/>
    <col min="13316" max="13316" width="7.88671875" style="401" bestFit="1" customWidth="1"/>
    <col min="13317" max="13317" width="0" style="401" hidden="1" customWidth="1"/>
    <col min="13318" max="13318" width="11.109375" style="401" bestFit="1" customWidth="1"/>
    <col min="13319" max="13568" width="9.109375" style="401"/>
    <col min="13569" max="13569" width="9.44140625" style="401" bestFit="1" customWidth="1"/>
    <col min="13570" max="13570" width="19.88671875" style="401" bestFit="1" customWidth="1"/>
    <col min="13571" max="13571" width="39.109375" style="401" bestFit="1" customWidth="1"/>
    <col min="13572" max="13572" width="7.88671875" style="401" bestFit="1" customWidth="1"/>
    <col min="13573" max="13573" width="0" style="401" hidden="1" customWidth="1"/>
    <col min="13574" max="13574" width="11.109375" style="401" bestFit="1" customWidth="1"/>
    <col min="13575" max="13824" width="9.109375" style="401"/>
    <col min="13825" max="13825" width="9.44140625" style="401" bestFit="1" customWidth="1"/>
    <col min="13826" max="13826" width="19.88671875" style="401" bestFit="1" customWidth="1"/>
    <col min="13827" max="13827" width="39.109375" style="401" bestFit="1" customWidth="1"/>
    <col min="13828" max="13828" width="7.88671875" style="401" bestFit="1" customWidth="1"/>
    <col min="13829" max="13829" width="0" style="401" hidden="1" customWidth="1"/>
    <col min="13830" max="13830" width="11.109375" style="401" bestFit="1" customWidth="1"/>
    <col min="13831" max="14080" width="9.109375" style="401"/>
    <col min="14081" max="14081" width="9.44140625" style="401" bestFit="1" customWidth="1"/>
    <col min="14082" max="14082" width="19.88671875" style="401" bestFit="1" customWidth="1"/>
    <col min="14083" max="14083" width="39.109375" style="401" bestFit="1" customWidth="1"/>
    <col min="14084" max="14084" width="7.88671875" style="401" bestFit="1" customWidth="1"/>
    <col min="14085" max="14085" width="0" style="401" hidden="1" customWidth="1"/>
    <col min="14086" max="14086" width="11.109375" style="401" bestFit="1" customWidth="1"/>
    <col min="14087" max="14336" width="9.109375" style="401"/>
    <col min="14337" max="14337" width="9.44140625" style="401" bestFit="1" customWidth="1"/>
    <col min="14338" max="14338" width="19.88671875" style="401" bestFit="1" customWidth="1"/>
    <col min="14339" max="14339" width="39.109375" style="401" bestFit="1" customWidth="1"/>
    <col min="14340" max="14340" width="7.88671875" style="401" bestFit="1" customWidth="1"/>
    <col min="14341" max="14341" width="0" style="401" hidden="1" customWidth="1"/>
    <col min="14342" max="14342" width="11.109375" style="401" bestFit="1" customWidth="1"/>
    <col min="14343" max="14592" width="9.109375" style="401"/>
    <col min="14593" max="14593" width="9.44140625" style="401" bestFit="1" customWidth="1"/>
    <col min="14594" max="14594" width="19.88671875" style="401" bestFit="1" customWidth="1"/>
    <col min="14595" max="14595" width="39.109375" style="401" bestFit="1" customWidth="1"/>
    <col min="14596" max="14596" width="7.88671875" style="401" bestFit="1" customWidth="1"/>
    <col min="14597" max="14597" width="0" style="401" hidden="1" customWidth="1"/>
    <col min="14598" max="14598" width="11.109375" style="401" bestFit="1" customWidth="1"/>
    <col min="14599" max="14848" width="9.109375" style="401"/>
    <col min="14849" max="14849" width="9.44140625" style="401" bestFit="1" customWidth="1"/>
    <col min="14850" max="14850" width="19.88671875" style="401" bestFit="1" customWidth="1"/>
    <col min="14851" max="14851" width="39.109375" style="401" bestFit="1" customWidth="1"/>
    <col min="14852" max="14852" width="7.88671875" style="401" bestFit="1" customWidth="1"/>
    <col min="14853" max="14853" width="0" style="401" hidden="1" customWidth="1"/>
    <col min="14854" max="14854" width="11.109375" style="401" bestFit="1" customWidth="1"/>
    <col min="14855" max="15104" width="9.109375" style="401"/>
    <col min="15105" max="15105" width="9.44140625" style="401" bestFit="1" customWidth="1"/>
    <col min="15106" max="15106" width="19.88671875" style="401" bestFit="1" customWidth="1"/>
    <col min="15107" max="15107" width="39.109375" style="401" bestFit="1" customWidth="1"/>
    <col min="15108" max="15108" width="7.88671875" style="401" bestFit="1" customWidth="1"/>
    <col min="15109" max="15109" width="0" style="401" hidden="1" customWidth="1"/>
    <col min="15110" max="15110" width="11.109375" style="401" bestFit="1" customWidth="1"/>
    <col min="15111" max="15360" width="9.109375" style="401"/>
    <col min="15361" max="15361" width="9.44140625" style="401" bestFit="1" customWidth="1"/>
    <col min="15362" max="15362" width="19.88671875" style="401" bestFit="1" customWidth="1"/>
    <col min="15363" max="15363" width="39.109375" style="401" bestFit="1" customWidth="1"/>
    <col min="15364" max="15364" width="7.88671875" style="401" bestFit="1" customWidth="1"/>
    <col min="15365" max="15365" width="0" style="401" hidden="1" customWidth="1"/>
    <col min="15366" max="15366" width="11.109375" style="401" bestFit="1" customWidth="1"/>
    <col min="15367" max="15616" width="9.109375" style="401"/>
    <col min="15617" max="15617" width="9.44140625" style="401" bestFit="1" customWidth="1"/>
    <col min="15618" max="15618" width="19.88671875" style="401" bestFit="1" customWidth="1"/>
    <col min="15619" max="15619" width="39.109375" style="401" bestFit="1" customWidth="1"/>
    <col min="15620" max="15620" width="7.88671875" style="401" bestFit="1" customWidth="1"/>
    <col min="15621" max="15621" width="0" style="401" hidden="1" customWidth="1"/>
    <col min="15622" max="15622" width="11.109375" style="401" bestFit="1" customWidth="1"/>
    <col min="15623" max="15872" width="9.109375" style="401"/>
    <col min="15873" max="15873" width="9.44140625" style="401" bestFit="1" customWidth="1"/>
    <col min="15874" max="15874" width="19.88671875" style="401" bestFit="1" customWidth="1"/>
    <col min="15875" max="15875" width="39.109375" style="401" bestFit="1" customWidth="1"/>
    <col min="15876" max="15876" width="7.88671875" style="401" bestFit="1" customWidth="1"/>
    <col min="15877" max="15877" width="0" style="401" hidden="1" customWidth="1"/>
    <col min="15878" max="15878" width="11.109375" style="401" bestFit="1" customWidth="1"/>
    <col min="15879" max="16128" width="9.109375" style="401"/>
    <col min="16129" max="16129" width="9.44140625" style="401" bestFit="1" customWidth="1"/>
    <col min="16130" max="16130" width="19.88671875" style="401" bestFit="1" customWidth="1"/>
    <col min="16131" max="16131" width="39.109375" style="401" bestFit="1" customWidth="1"/>
    <col min="16132" max="16132" width="7.88671875" style="401" bestFit="1" customWidth="1"/>
    <col min="16133" max="16133" width="0" style="401" hidden="1" customWidth="1"/>
    <col min="16134" max="16134" width="11.109375" style="401" bestFit="1" customWidth="1"/>
    <col min="16135" max="16384" width="9.109375" style="401"/>
  </cols>
  <sheetData>
    <row r="1" spans="1:6" ht="7.5" customHeight="1">
      <c r="A1" s="400"/>
      <c r="B1" s="400"/>
      <c r="C1" s="400"/>
      <c r="D1" s="400"/>
      <c r="E1" s="400"/>
    </row>
    <row r="2" spans="1:6" ht="12.9" customHeight="1">
      <c r="A2" s="1088" t="s">
        <v>2602</v>
      </c>
      <c r="B2" s="1089"/>
      <c r="C2" s="1089"/>
      <c r="D2" s="1089"/>
      <c r="E2" s="1090"/>
      <c r="F2" s="1090"/>
    </row>
    <row r="3" spans="1:6" ht="12.9" customHeight="1">
      <c r="A3" s="1089"/>
      <c r="B3" s="1089"/>
      <c r="C3" s="1089"/>
      <c r="D3" s="1089"/>
      <c r="E3" s="1090"/>
      <c r="F3" s="1090"/>
    </row>
    <row r="4" spans="1:6" ht="5.25" customHeight="1" thickBot="1">
      <c r="A4" s="402"/>
      <c r="B4" s="402"/>
      <c r="C4" s="402"/>
      <c r="D4" s="402"/>
      <c r="E4" s="400"/>
    </row>
    <row r="5" spans="1:6" ht="14.25" customHeight="1" thickBot="1">
      <c r="A5" s="427" t="s">
        <v>2603</v>
      </c>
      <c r="B5" s="428" t="s">
        <v>2604</v>
      </c>
      <c r="C5" s="428" t="s">
        <v>1577</v>
      </c>
      <c r="D5" s="428" t="s">
        <v>1128</v>
      </c>
      <c r="E5" s="429" t="s">
        <v>1128</v>
      </c>
      <c r="F5" s="429" t="s">
        <v>1256</v>
      </c>
    </row>
    <row r="6" spans="1:6" ht="12.9" customHeight="1">
      <c r="A6" s="403" t="s">
        <v>1894</v>
      </c>
      <c r="B6" s="404" t="s">
        <v>2605</v>
      </c>
      <c r="C6" s="405" t="s">
        <v>1527</v>
      </c>
      <c r="D6" s="406">
        <f>E6/1000</f>
        <v>1106.2433999999998</v>
      </c>
      <c r="E6" s="407">
        <v>1106243.3999999999</v>
      </c>
      <c r="F6" s="408" t="s">
        <v>1706</v>
      </c>
    </row>
    <row r="7" spans="1:6" ht="12.9" customHeight="1">
      <c r="A7" s="403"/>
      <c r="B7" s="404" t="s">
        <v>2606</v>
      </c>
      <c r="C7" s="405" t="s">
        <v>1527</v>
      </c>
      <c r="D7" s="409">
        <f t="shared" ref="D7:D35" si="0">E7/1000</f>
        <v>927.41464999999994</v>
      </c>
      <c r="E7" s="407">
        <v>927414.64999999991</v>
      </c>
      <c r="F7" s="279" t="s">
        <v>1706</v>
      </c>
    </row>
    <row r="8" spans="1:6" ht="12.9" customHeight="1" thickBot="1">
      <c r="A8" s="410"/>
      <c r="B8" s="411" t="s">
        <v>2607</v>
      </c>
      <c r="C8" s="412" t="s">
        <v>1527</v>
      </c>
      <c r="D8" s="413">
        <f t="shared" si="0"/>
        <v>840.48149999999998</v>
      </c>
      <c r="E8" s="414">
        <v>840481.5</v>
      </c>
      <c r="F8" s="279" t="s">
        <v>1706</v>
      </c>
    </row>
    <row r="9" spans="1:6" ht="12.9" customHeight="1" thickBot="1">
      <c r="A9" s="1084" t="s">
        <v>2608</v>
      </c>
      <c r="B9" s="1085"/>
      <c r="C9" s="1085"/>
      <c r="D9" s="415">
        <f t="shared" si="0"/>
        <v>2874.1395499999999</v>
      </c>
      <c r="E9" s="416">
        <v>2874139.55</v>
      </c>
      <c r="F9" s="417"/>
    </row>
    <row r="10" spans="1:6" ht="12.9" customHeight="1">
      <c r="A10" s="418" t="s">
        <v>1994</v>
      </c>
      <c r="B10" s="419" t="s">
        <v>2609</v>
      </c>
      <c r="C10" s="420" t="s">
        <v>1527</v>
      </c>
      <c r="D10" s="421">
        <f t="shared" si="0"/>
        <v>774.41075000000001</v>
      </c>
      <c r="E10" s="422">
        <v>774410.75</v>
      </c>
      <c r="F10" s="279" t="s">
        <v>1706</v>
      </c>
    </row>
    <row r="11" spans="1:6" ht="12.9" customHeight="1">
      <c r="A11" s="403"/>
      <c r="B11" s="404" t="s">
        <v>2610</v>
      </c>
      <c r="C11" s="405" t="s">
        <v>1527</v>
      </c>
      <c r="D11" s="409">
        <f t="shared" si="0"/>
        <v>640.5</v>
      </c>
      <c r="E11" s="407">
        <v>640500</v>
      </c>
      <c r="F11" s="279" t="s">
        <v>1706</v>
      </c>
    </row>
    <row r="12" spans="1:6" ht="12.9" customHeight="1">
      <c r="A12" s="403"/>
      <c r="B12" s="404" t="s">
        <v>2611</v>
      </c>
      <c r="C12" s="405" t="s">
        <v>1527</v>
      </c>
      <c r="D12" s="409">
        <f t="shared" si="0"/>
        <v>920.37350000000004</v>
      </c>
      <c r="E12" s="407">
        <v>920373.5</v>
      </c>
      <c r="F12" s="279" t="s">
        <v>1706</v>
      </c>
    </row>
    <row r="13" spans="1:6" ht="12.9" customHeight="1" thickBot="1">
      <c r="A13" s="410"/>
      <c r="B13" s="411" t="s">
        <v>2612</v>
      </c>
      <c r="C13" s="412" t="s">
        <v>1527</v>
      </c>
      <c r="D13" s="413">
        <f t="shared" si="0"/>
        <v>1281.6389899999999</v>
      </c>
      <c r="E13" s="414">
        <v>1281638.99</v>
      </c>
      <c r="F13" s="279" t="s">
        <v>1706</v>
      </c>
    </row>
    <row r="14" spans="1:6" ht="12.9" customHeight="1" thickBot="1">
      <c r="A14" s="1084" t="s">
        <v>2613</v>
      </c>
      <c r="B14" s="1085"/>
      <c r="C14" s="1085"/>
      <c r="D14" s="415">
        <f t="shared" si="0"/>
        <v>3616.9232399999996</v>
      </c>
      <c r="E14" s="416">
        <v>3616923.2399999998</v>
      </c>
      <c r="F14" s="417"/>
    </row>
    <row r="15" spans="1:6" ht="12.9" customHeight="1">
      <c r="A15" s="418" t="s">
        <v>2048</v>
      </c>
      <c r="B15" s="419" t="s">
        <v>2614</v>
      </c>
      <c r="C15" s="420" t="s">
        <v>1527</v>
      </c>
      <c r="D15" s="421">
        <f t="shared" si="0"/>
        <v>973.67891000000009</v>
      </c>
      <c r="E15" s="422">
        <v>973678.91</v>
      </c>
      <c r="F15" s="279" t="s">
        <v>1706</v>
      </c>
    </row>
    <row r="16" spans="1:6" ht="12.9" customHeight="1" thickBot="1">
      <c r="A16" s="410"/>
      <c r="B16" s="411" t="s">
        <v>2615</v>
      </c>
      <c r="C16" s="412" t="s">
        <v>1527</v>
      </c>
      <c r="D16" s="413">
        <f t="shared" si="0"/>
        <v>1474.78871</v>
      </c>
      <c r="E16" s="414">
        <v>1474788.71</v>
      </c>
      <c r="F16" s="279" t="s">
        <v>1706</v>
      </c>
    </row>
    <row r="17" spans="1:6" ht="12.9" customHeight="1" thickBot="1">
      <c r="A17" s="1084" t="s">
        <v>2616</v>
      </c>
      <c r="B17" s="1085"/>
      <c r="C17" s="1085"/>
      <c r="D17" s="415">
        <f t="shared" si="0"/>
        <v>2448.4676199999999</v>
      </c>
      <c r="E17" s="416">
        <v>2448467.62</v>
      </c>
      <c r="F17" s="423"/>
    </row>
    <row r="18" spans="1:6" ht="12.9" customHeight="1">
      <c r="A18" s="418" t="s">
        <v>2617</v>
      </c>
      <c r="B18" s="1091" t="s">
        <v>2618</v>
      </c>
      <c r="C18" s="420" t="s">
        <v>1527</v>
      </c>
      <c r="D18" s="421">
        <f t="shared" si="0"/>
        <v>1548.3986599999998</v>
      </c>
      <c r="E18" s="422">
        <v>1548398.66</v>
      </c>
      <c r="F18" s="279" t="s">
        <v>1706</v>
      </c>
    </row>
    <row r="19" spans="1:6" ht="20.399999999999999">
      <c r="A19" s="424"/>
      <c r="B19" s="1092"/>
      <c r="C19" s="425" t="s">
        <v>1703</v>
      </c>
      <c r="D19" s="409">
        <f t="shared" si="0"/>
        <v>2283.2640000000001</v>
      </c>
      <c r="E19" s="422">
        <v>2283264</v>
      </c>
      <c r="F19" s="279" t="s">
        <v>1259</v>
      </c>
    </row>
    <row r="20" spans="1:6" ht="12.9" customHeight="1" thickBot="1">
      <c r="A20" s="410"/>
      <c r="B20" s="411" t="s">
        <v>2619</v>
      </c>
      <c r="C20" s="412" t="s">
        <v>1527</v>
      </c>
      <c r="D20" s="413">
        <f t="shared" si="0"/>
        <v>427.40279000000004</v>
      </c>
      <c r="E20" s="414">
        <v>427402.79000000004</v>
      </c>
      <c r="F20" s="279" t="s">
        <v>1706</v>
      </c>
    </row>
    <row r="21" spans="1:6" ht="12.9" customHeight="1" thickBot="1">
      <c r="A21" s="1084" t="s">
        <v>2620</v>
      </c>
      <c r="B21" s="1085"/>
      <c r="C21" s="1085"/>
      <c r="D21" s="415">
        <f t="shared" si="0"/>
        <v>4259.0654500000001</v>
      </c>
      <c r="E21" s="416">
        <f>E18+E19+E20</f>
        <v>4259065.45</v>
      </c>
      <c r="F21" s="417"/>
    </row>
    <row r="22" spans="1:6" ht="12.9" customHeight="1">
      <c r="A22" s="418" t="s">
        <v>1916</v>
      </c>
      <c r="B22" s="419" t="s">
        <v>2621</v>
      </c>
      <c r="C22" s="420" t="s">
        <v>1527</v>
      </c>
      <c r="D22" s="421">
        <f t="shared" si="0"/>
        <v>1362.8851100000002</v>
      </c>
      <c r="E22" s="422">
        <v>1362885.11</v>
      </c>
      <c r="F22" s="279" t="s">
        <v>1706</v>
      </c>
    </row>
    <row r="23" spans="1:6" ht="12.9" customHeight="1">
      <c r="A23" s="403"/>
      <c r="B23" s="404" t="s">
        <v>2622</v>
      </c>
      <c r="C23" s="405" t="s">
        <v>1527</v>
      </c>
      <c r="D23" s="409">
        <f t="shared" si="0"/>
        <v>738.65899999999999</v>
      </c>
      <c r="E23" s="407">
        <v>738659</v>
      </c>
      <c r="F23" s="279" t="s">
        <v>1706</v>
      </c>
    </row>
    <row r="24" spans="1:6" ht="12.9" customHeight="1">
      <c r="A24" s="403"/>
      <c r="B24" s="404" t="s">
        <v>2623</v>
      </c>
      <c r="C24" s="405" t="s">
        <v>1527</v>
      </c>
      <c r="D24" s="409">
        <f t="shared" si="0"/>
        <v>547.47556999999995</v>
      </c>
      <c r="E24" s="407">
        <v>547475.56999999995</v>
      </c>
      <c r="F24" s="279" t="s">
        <v>1706</v>
      </c>
    </row>
    <row r="25" spans="1:6" ht="12.9" customHeight="1">
      <c r="A25" s="403"/>
      <c r="B25" s="404" t="s">
        <v>2624</v>
      </c>
      <c r="C25" s="405" t="s">
        <v>1527</v>
      </c>
      <c r="D25" s="409">
        <f t="shared" si="0"/>
        <v>691.90866000000005</v>
      </c>
      <c r="E25" s="407">
        <v>691908.66</v>
      </c>
      <c r="F25" s="279" t="s">
        <v>1706</v>
      </c>
    </row>
    <row r="26" spans="1:6" ht="12.9" customHeight="1" thickBot="1">
      <c r="A26" s="410"/>
      <c r="B26" s="411" t="s">
        <v>2625</v>
      </c>
      <c r="C26" s="412" t="s">
        <v>1527</v>
      </c>
      <c r="D26" s="413">
        <f t="shared" si="0"/>
        <v>1071.18842</v>
      </c>
      <c r="E26" s="414">
        <v>1071188.42</v>
      </c>
      <c r="F26" s="279" t="s">
        <v>1706</v>
      </c>
    </row>
    <row r="27" spans="1:6" ht="12.9" customHeight="1" thickBot="1">
      <c r="A27" s="1084" t="s">
        <v>2626</v>
      </c>
      <c r="B27" s="1085"/>
      <c r="C27" s="1085"/>
      <c r="D27" s="415">
        <f t="shared" si="0"/>
        <v>4412.1167599999999</v>
      </c>
      <c r="E27" s="416">
        <v>4412116.76</v>
      </c>
      <c r="F27" s="417"/>
    </row>
    <row r="28" spans="1:6" ht="12.9" customHeight="1">
      <c r="A28" s="418" t="s">
        <v>1938</v>
      </c>
      <c r="B28" s="419" t="s">
        <v>2627</v>
      </c>
      <c r="C28" s="420" t="s">
        <v>1527</v>
      </c>
      <c r="D28" s="421">
        <f t="shared" si="0"/>
        <v>488.71350000000001</v>
      </c>
      <c r="E28" s="422">
        <v>488713.5</v>
      </c>
      <c r="F28" s="279" t="s">
        <v>1706</v>
      </c>
    </row>
    <row r="29" spans="1:6" ht="12.9" customHeight="1" thickBot="1">
      <c r="A29" s="410"/>
      <c r="B29" s="411" t="s">
        <v>2628</v>
      </c>
      <c r="C29" s="412" t="s">
        <v>1527</v>
      </c>
      <c r="D29" s="413">
        <f t="shared" si="0"/>
        <v>1503.52044</v>
      </c>
      <c r="E29" s="414">
        <v>1503520.44</v>
      </c>
      <c r="F29" s="279" t="s">
        <v>1706</v>
      </c>
    </row>
    <row r="30" spans="1:6" ht="12.9" customHeight="1" thickBot="1">
      <c r="A30" s="1084" t="s">
        <v>2629</v>
      </c>
      <c r="B30" s="1085"/>
      <c r="C30" s="1085"/>
      <c r="D30" s="415">
        <f t="shared" si="0"/>
        <v>1992.2339399999998</v>
      </c>
      <c r="E30" s="416">
        <v>1992233.94</v>
      </c>
      <c r="F30" s="417"/>
    </row>
    <row r="31" spans="1:6" ht="12.9" customHeight="1">
      <c r="A31" s="418" t="s">
        <v>1954</v>
      </c>
      <c r="B31" s="419" t="s">
        <v>2630</v>
      </c>
      <c r="C31" s="420" t="s">
        <v>1527</v>
      </c>
      <c r="D31" s="421">
        <f t="shared" si="0"/>
        <v>518.66777999999999</v>
      </c>
      <c r="E31" s="422">
        <v>518667.77999999997</v>
      </c>
      <c r="F31" s="279" t="s">
        <v>1706</v>
      </c>
    </row>
    <row r="32" spans="1:6" ht="12.9" customHeight="1">
      <c r="A32" s="403"/>
      <c r="B32" s="404" t="s">
        <v>1954</v>
      </c>
      <c r="C32" s="405" t="s">
        <v>1527</v>
      </c>
      <c r="D32" s="409">
        <f t="shared" si="0"/>
        <v>1265.83961</v>
      </c>
      <c r="E32" s="407">
        <v>1265839.6100000001</v>
      </c>
      <c r="F32" s="279" t="s">
        <v>1706</v>
      </c>
    </row>
    <row r="33" spans="1:6" ht="12.9" customHeight="1" thickBot="1">
      <c r="A33" s="410"/>
      <c r="B33" s="411" t="s">
        <v>2631</v>
      </c>
      <c r="C33" s="412" t="s">
        <v>1527</v>
      </c>
      <c r="D33" s="413">
        <f t="shared" si="0"/>
        <v>1122.50298</v>
      </c>
      <c r="E33" s="414">
        <v>1122502.98</v>
      </c>
      <c r="F33" s="279" t="s">
        <v>1706</v>
      </c>
    </row>
    <row r="34" spans="1:6" ht="12.9" customHeight="1" thickBot="1">
      <c r="A34" s="1084" t="s">
        <v>2632</v>
      </c>
      <c r="B34" s="1085"/>
      <c r="C34" s="1085"/>
      <c r="D34" s="415">
        <f t="shared" si="0"/>
        <v>2907.01037</v>
      </c>
      <c r="E34" s="416">
        <v>2907010.37</v>
      </c>
      <c r="F34" s="417"/>
    </row>
    <row r="35" spans="1:6" ht="12.9" customHeight="1" thickBot="1">
      <c r="A35" s="1086" t="s">
        <v>2633</v>
      </c>
      <c r="B35" s="1087"/>
      <c r="C35" s="1087"/>
      <c r="D35" s="430">
        <f t="shared" si="0"/>
        <v>22509.95693</v>
      </c>
      <c r="E35" s="431">
        <v>22509956.93</v>
      </c>
      <c r="F35" s="432"/>
    </row>
    <row r="36" spans="1:6" ht="6" customHeight="1"/>
    <row r="37" spans="1:6">
      <c r="B37" s="426" t="s">
        <v>1785</v>
      </c>
      <c r="C37" s="426"/>
    </row>
    <row r="38" spans="1:6">
      <c r="B38" s="426" t="s">
        <v>1259</v>
      </c>
      <c r="C38" s="426" t="s">
        <v>2634</v>
      </c>
    </row>
    <row r="39" spans="1:6">
      <c r="B39" s="426" t="s">
        <v>1706</v>
      </c>
      <c r="C39" s="426" t="s">
        <v>2635</v>
      </c>
    </row>
  </sheetData>
  <mergeCells count="10">
    <mergeCell ref="A27:C27"/>
    <mergeCell ref="A30:C30"/>
    <mergeCell ref="A34:C34"/>
    <mergeCell ref="A35:C35"/>
    <mergeCell ref="A2:F3"/>
    <mergeCell ref="A9:C9"/>
    <mergeCell ref="A14:C14"/>
    <mergeCell ref="A17:C17"/>
    <mergeCell ref="B18:B19"/>
    <mergeCell ref="A21:C21"/>
  </mergeCells>
  <pageMargins left="0.7" right="0.7" top="0.78740157499999996" bottom="0.78740157499999996" header="0.3" footer="0.3"/>
  <pageSetup paperSize="9" orientation="portrait" horizontalDpi="4294967293" r:id="rId1"/>
  <headerFooter>
    <oddHeader>&amp;LPříloha č. 15&amp;CZávěrečný účet Plzeňského kraje za rok 2010</oddHeader>
    <oddFooter>&amp;LKrajský úřad Plzeňského kraje
Odbor ekonomický&amp;C&amp;P&amp;R&amp;D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782"/>
  <sheetViews>
    <sheetView zoomScaleNormal="100" workbookViewId="0">
      <selection activeCell="B761" sqref="B761"/>
    </sheetView>
  </sheetViews>
  <sheetFormatPr defaultRowHeight="13.2"/>
  <cols>
    <col min="1" max="1" width="10" style="434" bestFit="1" customWidth="1"/>
    <col min="2" max="2" width="16.5546875" style="435" bestFit="1" customWidth="1"/>
    <col min="3" max="3" width="98.44140625" style="435" bestFit="1" customWidth="1"/>
    <col min="4" max="4" width="8.5546875" style="435" customWidth="1"/>
    <col min="5" max="5" width="12.109375" style="435" hidden="1" customWidth="1"/>
    <col min="6" max="256" width="9.109375" style="435"/>
    <col min="257" max="257" width="10" style="435" bestFit="1" customWidth="1"/>
    <col min="258" max="258" width="16.5546875" style="435" bestFit="1" customWidth="1"/>
    <col min="259" max="259" width="98.44140625" style="435" bestFit="1" customWidth="1"/>
    <col min="260" max="260" width="10.44140625" style="435" bestFit="1" customWidth="1"/>
    <col min="261" max="261" width="0" style="435" hidden="1" customWidth="1"/>
    <col min="262" max="512" width="9.109375" style="435"/>
    <col min="513" max="513" width="10" style="435" bestFit="1" customWidth="1"/>
    <col min="514" max="514" width="16.5546875" style="435" bestFit="1" customWidth="1"/>
    <col min="515" max="515" width="98.44140625" style="435" bestFit="1" customWidth="1"/>
    <col min="516" max="516" width="10.44140625" style="435" bestFit="1" customWidth="1"/>
    <col min="517" max="517" width="0" style="435" hidden="1" customWidth="1"/>
    <col min="518" max="768" width="9.109375" style="435"/>
    <col min="769" max="769" width="10" style="435" bestFit="1" customWidth="1"/>
    <col min="770" max="770" width="16.5546875" style="435" bestFit="1" customWidth="1"/>
    <col min="771" max="771" width="98.44140625" style="435" bestFit="1" customWidth="1"/>
    <col min="772" max="772" width="10.44140625" style="435" bestFit="1" customWidth="1"/>
    <col min="773" max="773" width="0" style="435" hidden="1" customWidth="1"/>
    <col min="774" max="1024" width="9.109375" style="435"/>
    <col min="1025" max="1025" width="10" style="435" bestFit="1" customWidth="1"/>
    <col min="1026" max="1026" width="16.5546875" style="435" bestFit="1" customWidth="1"/>
    <col min="1027" max="1027" width="98.44140625" style="435" bestFit="1" customWidth="1"/>
    <col min="1028" max="1028" width="10.44140625" style="435" bestFit="1" customWidth="1"/>
    <col min="1029" max="1029" width="0" style="435" hidden="1" customWidth="1"/>
    <col min="1030" max="1280" width="9.109375" style="435"/>
    <col min="1281" max="1281" width="10" style="435" bestFit="1" customWidth="1"/>
    <col min="1282" max="1282" width="16.5546875" style="435" bestFit="1" customWidth="1"/>
    <col min="1283" max="1283" width="98.44140625" style="435" bestFit="1" customWidth="1"/>
    <col min="1284" max="1284" width="10.44140625" style="435" bestFit="1" customWidth="1"/>
    <col min="1285" max="1285" width="0" style="435" hidden="1" customWidth="1"/>
    <col min="1286" max="1536" width="9.109375" style="435"/>
    <col min="1537" max="1537" width="10" style="435" bestFit="1" customWidth="1"/>
    <col min="1538" max="1538" width="16.5546875" style="435" bestFit="1" customWidth="1"/>
    <col min="1539" max="1539" width="98.44140625" style="435" bestFit="1" customWidth="1"/>
    <col min="1540" max="1540" width="10.44140625" style="435" bestFit="1" customWidth="1"/>
    <col min="1541" max="1541" width="0" style="435" hidden="1" customWidth="1"/>
    <col min="1542" max="1792" width="9.109375" style="435"/>
    <col min="1793" max="1793" width="10" style="435" bestFit="1" customWidth="1"/>
    <col min="1794" max="1794" width="16.5546875" style="435" bestFit="1" customWidth="1"/>
    <col min="1795" max="1795" width="98.44140625" style="435" bestFit="1" customWidth="1"/>
    <col min="1796" max="1796" width="10.44140625" style="435" bestFit="1" customWidth="1"/>
    <col min="1797" max="1797" width="0" style="435" hidden="1" customWidth="1"/>
    <col min="1798" max="2048" width="9.109375" style="435"/>
    <col min="2049" max="2049" width="10" style="435" bestFit="1" customWidth="1"/>
    <col min="2050" max="2050" width="16.5546875" style="435" bestFit="1" customWidth="1"/>
    <col min="2051" max="2051" width="98.44140625" style="435" bestFit="1" customWidth="1"/>
    <col min="2052" max="2052" width="10.44140625" style="435" bestFit="1" customWidth="1"/>
    <col min="2053" max="2053" width="0" style="435" hidden="1" customWidth="1"/>
    <col min="2054" max="2304" width="9.109375" style="435"/>
    <col min="2305" max="2305" width="10" style="435" bestFit="1" customWidth="1"/>
    <col min="2306" max="2306" width="16.5546875" style="435" bestFit="1" customWidth="1"/>
    <col min="2307" max="2307" width="98.44140625" style="435" bestFit="1" customWidth="1"/>
    <col min="2308" max="2308" width="10.44140625" style="435" bestFit="1" customWidth="1"/>
    <col min="2309" max="2309" width="0" style="435" hidden="1" customWidth="1"/>
    <col min="2310" max="2560" width="9.109375" style="435"/>
    <col min="2561" max="2561" width="10" style="435" bestFit="1" customWidth="1"/>
    <col min="2562" max="2562" width="16.5546875" style="435" bestFit="1" customWidth="1"/>
    <col min="2563" max="2563" width="98.44140625" style="435" bestFit="1" customWidth="1"/>
    <col min="2564" max="2564" width="10.44140625" style="435" bestFit="1" customWidth="1"/>
    <col min="2565" max="2565" width="0" style="435" hidden="1" customWidth="1"/>
    <col min="2566" max="2816" width="9.109375" style="435"/>
    <col min="2817" max="2817" width="10" style="435" bestFit="1" customWidth="1"/>
    <col min="2818" max="2818" width="16.5546875" style="435" bestFit="1" customWidth="1"/>
    <col min="2819" max="2819" width="98.44140625" style="435" bestFit="1" customWidth="1"/>
    <col min="2820" max="2820" width="10.44140625" style="435" bestFit="1" customWidth="1"/>
    <col min="2821" max="2821" width="0" style="435" hidden="1" customWidth="1"/>
    <col min="2822" max="3072" width="9.109375" style="435"/>
    <col min="3073" max="3073" width="10" style="435" bestFit="1" customWidth="1"/>
    <col min="3074" max="3074" width="16.5546875" style="435" bestFit="1" customWidth="1"/>
    <col min="3075" max="3075" width="98.44140625" style="435" bestFit="1" customWidth="1"/>
    <col min="3076" max="3076" width="10.44140625" style="435" bestFit="1" customWidth="1"/>
    <col min="3077" max="3077" width="0" style="435" hidden="1" customWidth="1"/>
    <col min="3078" max="3328" width="9.109375" style="435"/>
    <col min="3329" max="3329" width="10" style="435" bestFit="1" customWidth="1"/>
    <col min="3330" max="3330" width="16.5546875" style="435" bestFit="1" customWidth="1"/>
    <col min="3331" max="3331" width="98.44140625" style="435" bestFit="1" customWidth="1"/>
    <col min="3332" max="3332" width="10.44140625" style="435" bestFit="1" customWidth="1"/>
    <col min="3333" max="3333" width="0" style="435" hidden="1" customWidth="1"/>
    <col min="3334" max="3584" width="9.109375" style="435"/>
    <col min="3585" max="3585" width="10" style="435" bestFit="1" customWidth="1"/>
    <col min="3586" max="3586" width="16.5546875" style="435" bestFit="1" customWidth="1"/>
    <col min="3587" max="3587" width="98.44140625" style="435" bestFit="1" customWidth="1"/>
    <col min="3588" max="3588" width="10.44140625" style="435" bestFit="1" customWidth="1"/>
    <col min="3589" max="3589" width="0" style="435" hidden="1" customWidth="1"/>
    <col min="3590" max="3840" width="9.109375" style="435"/>
    <col min="3841" max="3841" width="10" style="435" bestFit="1" customWidth="1"/>
    <col min="3842" max="3842" width="16.5546875" style="435" bestFit="1" customWidth="1"/>
    <col min="3843" max="3843" width="98.44140625" style="435" bestFit="1" customWidth="1"/>
    <col min="3844" max="3844" width="10.44140625" style="435" bestFit="1" customWidth="1"/>
    <col min="3845" max="3845" width="0" style="435" hidden="1" customWidth="1"/>
    <col min="3846" max="4096" width="9.109375" style="435"/>
    <col min="4097" max="4097" width="10" style="435" bestFit="1" customWidth="1"/>
    <col min="4098" max="4098" width="16.5546875" style="435" bestFit="1" customWidth="1"/>
    <col min="4099" max="4099" width="98.44140625" style="435" bestFit="1" customWidth="1"/>
    <col min="4100" max="4100" width="10.44140625" style="435" bestFit="1" customWidth="1"/>
    <col min="4101" max="4101" width="0" style="435" hidden="1" customWidth="1"/>
    <col min="4102" max="4352" width="9.109375" style="435"/>
    <col min="4353" max="4353" width="10" style="435" bestFit="1" customWidth="1"/>
    <col min="4354" max="4354" width="16.5546875" style="435" bestFit="1" customWidth="1"/>
    <col min="4355" max="4355" width="98.44140625" style="435" bestFit="1" customWidth="1"/>
    <col min="4356" max="4356" width="10.44140625" style="435" bestFit="1" customWidth="1"/>
    <col min="4357" max="4357" width="0" style="435" hidden="1" customWidth="1"/>
    <col min="4358" max="4608" width="9.109375" style="435"/>
    <col min="4609" max="4609" width="10" style="435" bestFit="1" customWidth="1"/>
    <col min="4610" max="4610" width="16.5546875" style="435" bestFit="1" customWidth="1"/>
    <col min="4611" max="4611" width="98.44140625" style="435" bestFit="1" customWidth="1"/>
    <col min="4612" max="4612" width="10.44140625" style="435" bestFit="1" customWidth="1"/>
    <col min="4613" max="4613" width="0" style="435" hidden="1" customWidth="1"/>
    <col min="4614" max="4864" width="9.109375" style="435"/>
    <col min="4865" max="4865" width="10" style="435" bestFit="1" customWidth="1"/>
    <col min="4866" max="4866" width="16.5546875" style="435" bestFit="1" customWidth="1"/>
    <col min="4867" max="4867" width="98.44140625" style="435" bestFit="1" customWidth="1"/>
    <col min="4868" max="4868" width="10.44140625" style="435" bestFit="1" customWidth="1"/>
    <col min="4869" max="4869" width="0" style="435" hidden="1" customWidth="1"/>
    <col min="4870" max="5120" width="9.109375" style="435"/>
    <col min="5121" max="5121" width="10" style="435" bestFit="1" customWidth="1"/>
    <col min="5122" max="5122" width="16.5546875" style="435" bestFit="1" customWidth="1"/>
    <col min="5123" max="5123" width="98.44140625" style="435" bestFit="1" customWidth="1"/>
    <col min="5124" max="5124" width="10.44140625" style="435" bestFit="1" customWidth="1"/>
    <col min="5125" max="5125" width="0" style="435" hidden="1" customWidth="1"/>
    <col min="5126" max="5376" width="9.109375" style="435"/>
    <col min="5377" max="5377" width="10" style="435" bestFit="1" customWidth="1"/>
    <col min="5378" max="5378" width="16.5546875" style="435" bestFit="1" customWidth="1"/>
    <col min="5379" max="5379" width="98.44140625" style="435" bestFit="1" customWidth="1"/>
    <col min="5380" max="5380" width="10.44140625" style="435" bestFit="1" customWidth="1"/>
    <col min="5381" max="5381" width="0" style="435" hidden="1" customWidth="1"/>
    <col min="5382" max="5632" width="9.109375" style="435"/>
    <col min="5633" max="5633" width="10" style="435" bestFit="1" customWidth="1"/>
    <col min="5634" max="5634" width="16.5546875" style="435" bestFit="1" customWidth="1"/>
    <col min="5635" max="5635" width="98.44140625" style="435" bestFit="1" customWidth="1"/>
    <col min="5636" max="5636" width="10.44140625" style="435" bestFit="1" customWidth="1"/>
    <col min="5637" max="5637" width="0" style="435" hidden="1" customWidth="1"/>
    <col min="5638" max="5888" width="9.109375" style="435"/>
    <col min="5889" max="5889" width="10" style="435" bestFit="1" customWidth="1"/>
    <col min="5890" max="5890" width="16.5546875" style="435" bestFit="1" customWidth="1"/>
    <col min="5891" max="5891" width="98.44140625" style="435" bestFit="1" customWidth="1"/>
    <col min="5892" max="5892" width="10.44140625" style="435" bestFit="1" customWidth="1"/>
    <col min="5893" max="5893" width="0" style="435" hidden="1" customWidth="1"/>
    <col min="5894" max="6144" width="9.109375" style="435"/>
    <col min="6145" max="6145" width="10" style="435" bestFit="1" customWidth="1"/>
    <col min="6146" max="6146" width="16.5546875" style="435" bestFit="1" customWidth="1"/>
    <col min="6147" max="6147" width="98.44140625" style="435" bestFit="1" customWidth="1"/>
    <col min="6148" max="6148" width="10.44140625" style="435" bestFit="1" customWidth="1"/>
    <col min="6149" max="6149" width="0" style="435" hidden="1" customWidth="1"/>
    <col min="6150" max="6400" width="9.109375" style="435"/>
    <col min="6401" max="6401" width="10" style="435" bestFit="1" customWidth="1"/>
    <col min="6402" max="6402" width="16.5546875" style="435" bestFit="1" customWidth="1"/>
    <col min="6403" max="6403" width="98.44140625" style="435" bestFit="1" customWidth="1"/>
    <col min="6404" max="6404" width="10.44140625" style="435" bestFit="1" customWidth="1"/>
    <col min="6405" max="6405" width="0" style="435" hidden="1" customWidth="1"/>
    <col min="6406" max="6656" width="9.109375" style="435"/>
    <col min="6657" max="6657" width="10" style="435" bestFit="1" customWidth="1"/>
    <col min="6658" max="6658" width="16.5546875" style="435" bestFit="1" customWidth="1"/>
    <col min="6659" max="6659" width="98.44140625" style="435" bestFit="1" customWidth="1"/>
    <col min="6660" max="6660" width="10.44140625" style="435" bestFit="1" customWidth="1"/>
    <col min="6661" max="6661" width="0" style="435" hidden="1" customWidth="1"/>
    <col min="6662" max="6912" width="9.109375" style="435"/>
    <col min="6913" max="6913" width="10" style="435" bestFit="1" customWidth="1"/>
    <col min="6914" max="6914" width="16.5546875" style="435" bestFit="1" customWidth="1"/>
    <col min="6915" max="6915" width="98.44140625" style="435" bestFit="1" customWidth="1"/>
    <col min="6916" max="6916" width="10.44140625" style="435" bestFit="1" customWidth="1"/>
    <col min="6917" max="6917" width="0" style="435" hidden="1" customWidth="1"/>
    <col min="6918" max="7168" width="9.109375" style="435"/>
    <col min="7169" max="7169" width="10" style="435" bestFit="1" customWidth="1"/>
    <col min="7170" max="7170" width="16.5546875" style="435" bestFit="1" customWidth="1"/>
    <col min="7171" max="7171" width="98.44140625" style="435" bestFit="1" customWidth="1"/>
    <col min="7172" max="7172" width="10.44140625" style="435" bestFit="1" customWidth="1"/>
    <col min="7173" max="7173" width="0" style="435" hidden="1" customWidth="1"/>
    <col min="7174" max="7424" width="9.109375" style="435"/>
    <col min="7425" max="7425" width="10" style="435" bestFit="1" customWidth="1"/>
    <col min="7426" max="7426" width="16.5546875" style="435" bestFit="1" customWidth="1"/>
    <col min="7427" max="7427" width="98.44140625" style="435" bestFit="1" customWidth="1"/>
    <col min="7428" max="7428" width="10.44140625" style="435" bestFit="1" customWidth="1"/>
    <col min="7429" max="7429" width="0" style="435" hidden="1" customWidth="1"/>
    <col min="7430" max="7680" width="9.109375" style="435"/>
    <col min="7681" max="7681" width="10" style="435" bestFit="1" customWidth="1"/>
    <col min="7682" max="7682" width="16.5546875" style="435" bestFit="1" customWidth="1"/>
    <col min="7683" max="7683" width="98.44140625" style="435" bestFit="1" customWidth="1"/>
    <col min="7684" max="7684" width="10.44140625" style="435" bestFit="1" customWidth="1"/>
    <col min="7685" max="7685" width="0" style="435" hidden="1" customWidth="1"/>
    <col min="7686" max="7936" width="9.109375" style="435"/>
    <col min="7937" max="7937" width="10" style="435" bestFit="1" customWidth="1"/>
    <col min="7938" max="7938" width="16.5546875" style="435" bestFit="1" customWidth="1"/>
    <col min="7939" max="7939" width="98.44140625" style="435" bestFit="1" customWidth="1"/>
    <col min="7940" max="7940" width="10.44140625" style="435" bestFit="1" customWidth="1"/>
    <col min="7941" max="7941" width="0" style="435" hidden="1" customWidth="1"/>
    <col min="7942" max="8192" width="9.109375" style="435"/>
    <col min="8193" max="8193" width="10" style="435" bestFit="1" customWidth="1"/>
    <col min="8194" max="8194" width="16.5546875" style="435" bestFit="1" customWidth="1"/>
    <col min="8195" max="8195" width="98.44140625" style="435" bestFit="1" customWidth="1"/>
    <col min="8196" max="8196" width="10.44140625" style="435" bestFit="1" customWidth="1"/>
    <col min="8197" max="8197" width="0" style="435" hidden="1" customWidth="1"/>
    <col min="8198" max="8448" width="9.109375" style="435"/>
    <col min="8449" max="8449" width="10" style="435" bestFit="1" customWidth="1"/>
    <col min="8450" max="8450" width="16.5546875" style="435" bestFit="1" customWidth="1"/>
    <col min="8451" max="8451" width="98.44140625" style="435" bestFit="1" customWidth="1"/>
    <col min="8452" max="8452" width="10.44140625" style="435" bestFit="1" customWidth="1"/>
    <col min="8453" max="8453" width="0" style="435" hidden="1" customWidth="1"/>
    <col min="8454" max="8704" width="9.109375" style="435"/>
    <col min="8705" max="8705" width="10" style="435" bestFit="1" customWidth="1"/>
    <col min="8706" max="8706" width="16.5546875" style="435" bestFit="1" customWidth="1"/>
    <col min="8707" max="8707" width="98.44140625" style="435" bestFit="1" customWidth="1"/>
    <col min="8708" max="8708" width="10.44140625" style="435" bestFit="1" customWidth="1"/>
    <col min="8709" max="8709" width="0" style="435" hidden="1" customWidth="1"/>
    <col min="8710" max="8960" width="9.109375" style="435"/>
    <col min="8961" max="8961" width="10" style="435" bestFit="1" customWidth="1"/>
    <col min="8962" max="8962" width="16.5546875" style="435" bestFit="1" customWidth="1"/>
    <col min="8963" max="8963" width="98.44140625" style="435" bestFit="1" customWidth="1"/>
    <col min="8964" max="8964" width="10.44140625" style="435" bestFit="1" customWidth="1"/>
    <col min="8965" max="8965" width="0" style="435" hidden="1" customWidth="1"/>
    <col min="8966" max="9216" width="9.109375" style="435"/>
    <col min="9217" max="9217" width="10" style="435" bestFit="1" customWidth="1"/>
    <col min="9218" max="9218" width="16.5546875" style="435" bestFit="1" customWidth="1"/>
    <col min="9219" max="9219" width="98.44140625" style="435" bestFit="1" customWidth="1"/>
    <col min="9220" max="9220" width="10.44140625" style="435" bestFit="1" customWidth="1"/>
    <col min="9221" max="9221" width="0" style="435" hidden="1" customWidth="1"/>
    <col min="9222" max="9472" width="9.109375" style="435"/>
    <col min="9473" max="9473" width="10" style="435" bestFit="1" customWidth="1"/>
    <col min="9474" max="9474" width="16.5546875" style="435" bestFit="1" customWidth="1"/>
    <col min="9475" max="9475" width="98.44140625" style="435" bestFit="1" customWidth="1"/>
    <col min="9476" max="9476" width="10.44140625" style="435" bestFit="1" customWidth="1"/>
    <col min="9477" max="9477" width="0" style="435" hidden="1" customWidth="1"/>
    <col min="9478" max="9728" width="9.109375" style="435"/>
    <col min="9729" max="9729" width="10" style="435" bestFit="1" customWidth="1"/>
    <col min="9730" max="9730" width="16.5546875" style="435" bestFit="1" customWidth="1"/>
    <col min="9731" max="9731" width="98.44140625" style="435" bestFit="1" customWidth="1"/>
    <col min="9732" max="9732" width="10.44140625" style="435" bestFit="1" customWidth="1"/>
    <col min="9733" max="9733" width="0" style="435" hidden="1" customWidth="1"/>
    <col min="9734" max="9984" width="9.109375" style="435"/>
    <col min="9985" max="9985" width="10" style="435" bestFit="1" customWidth="1"/>
    <col min="9986" max="9986" width="16.5546875" style="435" bestFit="1" customWidth="1"/>
    <col min="9987" max="9987" width="98.44140625" style="435" bestFit="1" customWidth="1"/>
    <col min="9988" max="9988" width="10.44140625" style="435" bestFit="1" customWidth="1"/>
    <col min="9989" max="9989" width="0" style="435" hidden="1" customWidth="1"/>
    <col min="9990" max="10240" width="9.109375" style="435"/>
    <col min="10241" max="10241" width="10" style="435" bestFit="1" customWidth="1"/>
    <col min="10242" max="10242" width="16.5546875" style="435" bestFit="1" customWidth="1"/>
    <col min="10243" max="10243" width="98.44140625" style="435" bestFit="1" customWidth="1"/>
    <col min="10244" max="10244" width="10.44140625" style="435" bestFit="1" customWidth="1"/>
    <col min="10245" max="10245" width="0" style="435" hidden="1" customWidth="1"/>
    <col min="10246" max="10496" width="9.109375" style="435"/>
    <col min="10497" max="10497" width="10" style="435" bestFit="1" customWidth="1"/>
    <col min="10498" max="10498" width="16.5546875" style="435" bestFit="1" customWidth="1"/>
    <col min="10499" max="10499" width="98.44140625" style="435" bestFit="1" customWidth="1"/>
    <col min="10500" max="10500" width="10.44140625" style="435" bestFit="1" customWidth="1"/>
    <col min="10501" max="10501" width="0" style="435" hidden="1" customWidth="1"/>
    <col min="10502" max="10752" width="9.109375" style="435"/>
    <col min="10753" max="10753" width="10" style="435" bestFit="1" customWidth="1"/>
    <col min="10754" max="10754" width="16.5546875" style="435" bestFit="1" customWidth="1"/>
    <col min="10755" max="10755" width="98.44140625" style="435" bestFit="1" customWidth="1"/>
    <col min="10756" max="10756" width="10.44140625" style="435" bestFit="1" customWidth="1"/>
    <col min="10757" max="10757" width="0" style="435" hidden="1" customWidth="1"/>
    <col min="10758" max="11008" width="9.109375" style="435"/>
    <col min="11009" max="11009" width="10" style="435" bestFit="1" customWidth="1"/>
    <col min="11010" max="11010" width="16.5546875" style="435" bestFit="1" customWidth="1"/>
    <col min="11011" max="11011" width="98.44140625" style="435" bestFit="1" customWidth="1"/>
    <col min="11012" max="11012" width="10.44140625" style="435" bestFit="1" customWidth="1"/>
    <col min="11013" max="11013" width="0" style="435" hidden="1" customWidth="1"/>
    <col min="11014" max="11264" width="9.109375" style="435"/>
    <col min="11265" max="11265" width="10" style="435" bestFit="1" customWidth="1"/>
    <col min="11266" max="11266" width="16.5546875" style="435" bestFit="1" customWidth="1"/>
    <col min="11267" max="11267" width="98.44140625" style="435" bestFit="1" customWidth="1"/>
    <col min="11268" max="11268" width="10.44140625" style="435" bestFit="1" customWidth="1"/>
    <col min="11269" max="11269" width="0" style="435" hidden="1" customWidth="1"/>
    <col min="11270" max="11520" width="9.109375" style="435"/>
    <col min="11521" max="11521" width="10" style="435" bestFit="1" customWidth="1"/>
    <col min="11522" max="11522" width="16.5546875" style="435" bestFit="1" customWidth="1"/>
    <col min="11523" max="11523" width="98.44140625" style="435" bestFit="1" customWidth="1"/>
    <col min="11524" max="11524" width="10.44140625" style="435" bestFit="1" customWidth="1"/>
    <col min="11525" max="11525" width="0" style="435" hidden="1" customWidth="1"/>
    <col min="11526" max="11776" width="9.109375" style="435"/>
    <col min="11777" max="11777" width="10" style="435" bestFit="1" customWidth="1"/>
    <col min="11778" max="11778" width="16.5546875" style="435" bestFit="1" customWidth="1"/>
    <col min="11779" max="11779" width="98.44140625" style="435" bestFit="1" customWidth="1"/>
    <col min="11780" max="11780" width="10.44140625" style="435" bestFit="1" customWidth="1"/>
    <col min="11781" max="11781" width="0" style="435" hidden="1" customWidth="1"/>
    <col min="11782" max="12032" width="9.109375" style="435"/>
    <col min="12033" max="12033" width="10" style="435" bestFit="1" customWidth="1"/>
    <col min="12034" max="12034" width="16.5546875" style="435" bestFit="1" customWidth="1"/>
    <col min="12035" max="12035" width="98.44140625" style="435" bestFit="1" customWidth="1"/>
    <col min="12036" max="12036" width="10.44140625" style="435" bestFit="1" customWidth="1"/>
    <col min="12037" max="12037" width="0" style="435" hidden="1" customWidth="1"/>
    <col min="12038" max="12288" width="9.109375" style="435"/>
    <col min="12289" max="12289" width="10" style="435" bestFit="1" customWidth="1"/>
    <col min="12290" max="12290" width="16.5546875" style="435" bestFit="1" customWidth="1"/>
    <col min="12291" max="12291" width="98.44140625" style="435" bestFit="1" customWidth="1"/>
    <col min="12292" max="12292" width="10.44140625" style="435" bestFit="1" customWidth="1"/>
    <col min="12293" max="12293" width="0" style="435" hidden="1" customWidth="1"/>
    <col min="12294" max="12544" width="9.109375" style="435"/>
    <col min="12545" max="12545" width="10" style="435" bestFit="1" customWidth="1"/>
    <col min="12546" max="12546" width="16.5546875" style="435" bestFit="1" customWidth="1"/>
    <col min="12547" max="12547" width="98.44140625" style="435" bestFit="1" customWidth="1"/>
    <col min="12548" max="12548" width="10.44140625" style="435" bestFit="1" customWidth="1"/>
    <col min="12549" max="12549" width="0" style="435" hidden="1" customWidth="1"/>
    <col min="12550" max="12800" width="9.109375" style="435"/>
    <col min="12801" max="12801" width="10" style="435" bestFit="1" customWidth="1"/>
    <col min="12802" max="12802" width="16.5546875" style="435" bestFit="1" customWidth="1"/>
    <col min="12803" max="12803" width="98.44140625" style="435" bestFit="1" customWidth="1"/>
    <col min="12804" max="12804" width="10.44140625" style="435" bestFit="1" customWidth="1"/>
    <col min="12805" max="12805" width="0" style="435" hidden="1" customWidth="1"/>
    <col min="12806" max="13056" width="9.109375" style="435"/>
    <col min="13057" max="13057" width="10" style="435" bestFit="1" customWidth="1"/>
    <col min="13058" max="13058" width="16.5546875" style="435" bestFit="1" customWidth="1"/>
    <col min="13059" max="13059" width="98.44140625" style="435" bestFit="1" customWidth="1"/>
    <col min="13060" max="13060" width="10.44140625" style="435" bestFit="1" customWidth="1"/>
    <col min="13061" max="13061" width="0" style="435" hidden="1" customWidth="1"/>
    <col min="13062" max="13312" width="9.109375" style="435"/>
    <col min="13313" max="13313" width="10" style="435" bestFit="1" customWidth="1"/>
    <col min="13314" max="13314" width="16.5546875" style="435" bestFit="1" customWidth="1"/>
    <col min="13315" max="13315" width="98.44140625" style="435" bestFit="1" customWidth="1"/>
    <col min="13316" max="13316" width="10.44140625" style="435" bestFit="1" customWidth="1"/>
    <col min="13317" max="13317" width="0" style="435" hidden="1" customWidth="1"/>
    <col min="13318" max="13568" width="9.109375" style="435"/>
    <col min="13569" max="13569" width="10" style="435" bestFit="1" customWidth="1"/>
    <col min="13570" max="13570" width="16.5546875" style="435" bestFit="1" customWidth="1"/>
    <col min="13571" max="13571" width="98.44140625" style="435" bestFit="1" customWidth="1"/>
    <col min="13572" max="13572" width="10.44140625" style="435" bestFit="1" customWidth="1"/>
    <col min="13573" max="13573" width="0" style="435" hidden="1" customWidth="1"/>
    <col min="13574" max="13824" width="9.109375" style="435"/>
    <col min="13825" max="13825" width="10" style="435" bestFit="1" customWidth="1"/>
    <col min="13826" max="13826" width="16.5546875" style="435" bestFit="1" customWidth="1"/>
    <col min="13827" max="13827" width="98.44140625" style="435" bestFit="1" customWidth="1"/>
    <col min="13828" max="13828" width="10.44140625" style="435" bestFit="1" customWidth="1"/>
    <col min="13829" max="13829" width="0" style="435" hidden="1" customWidth="1"/>
    <col min="13830" max="14080" width="9.109375" style="435"/>
    <col min="14081" max="14081" width="10" style="435" bestFit="1" customWidth="1"/>
    <col min="14082" max="14082" width="16.5546875" style="435" bestFit="1" customWidth="1"/>
    <col min="14083" max="14083" width="98.44140625" style="435" bestFit="1" customWidth="1"/>
    <col min="14084" max="14084" width="10.44140625" style="435" bestFit="1" customWidth="1"/>
    <col min="14085" max="14085" width="0" style="435" hidden="1" customWidth="1"/>
    <col min="14086" max="14336" width="9.109375" style="435"/>
    <col min="14337" max="14337" width="10" style="435" bestFit="1" customWidth="1"/>
    <col min="14338" max="14338" width="16.5546875" style="435" bestFit="1" customWidth="1"/>
    <col min="14339" max="14339" width="98.44140625" style="435" bestFit="1" customWidth="1"/>
    <col min="14340" max="14340" width="10.44140625" style="435" bestFit="1" customWidth="1"/>
    <col min="14341" max="14341" width="0" style="435" hidden="1" customWidth="1"/>
    <col min="14342" max="14592" width="9.109375" style="435"/>
    <col min="14593" max="14593" width="10" style="435" bestFit="1" customWidth="1"/>
    <col min="14594" max="14594" width="16.5546875" style="435" bestFit="1" customWidth="1"/>
    <col min="14595" max="14595" width="98.44140625" style="435" bestFit="1" customWidth="1"/>
    <col min="14596" max="14596" width="10.44140625" style="435" bestFit="1" customWidth="1"/>
    <col min="14597" max="14597" width="0" style="435" hidden="1" customWidth="1"/>
    <col min="14598" max="14848" width="9.109375" style="435"/>
    <col min="14849" max="14849" width="10" style="435" bestFit="1" customWidth="1"/>
    <col min="14850" max="14850" width="16.5546875" style="435" bestFit="1" customWidth="1"/>
    <col min="14851" max="14851" width="98.44140625" style="435" bestFit="1" customWidth="1"/>
    <col min="14852" max="14852" width="10.44140625" style="435" bestFit="1" customWidth="1"/>
    <col min="14853" max="14853" width="0" style="435" hidden="1" customWidth="1"/>
    <col min="14854" max="15104" width="9.109375" style="435"/>
    <col min="15105" max="15105" width="10" style="435" bestFit="1" customWidth="1"/>
    <col min="15106" max="15106" width="16.5546875" style="435" bestFit="1" customWidth="1"/>
    <col min="15107" max="15107" width="98.44140625" style="435" bestFit="1" customWidth="1"/>
    <col min="15108" max="15108" width="10.44140625" style="435" bestFit="1" customWidth="1"/>
    <col min="15109" max="15109" width="0" style="435" hidden="1" customWidth="1"/>
    <col min="15110" max="15360" width="9.109375" style="435"/>
    <col min="15361" max="15361" width="10" style="435" bestFit="1" customWidth="1"/>
    <col min="15362" max="15362" width="16.5546875" style="435" bestFit="1" customWidth="1"/>
    <col min="15363" max="15363" width="98.44140625" style="435" bestFit="1" customWidth="1"/>
    <col min="15364" max="15364" width="10.44140625" style="435" bestFit="1" customWidth="1"/>
    <col min="15365" max="15365" width="0" style="435" hidden="1" customWidth="1"/>
    <col min="15366" max="15616" width="9.109375" style="435"/>
    <col min="15617" max="15617" width="10" style="435" bestFit="1" customWidth="1"/>
    <col min="15618" max="15618" width="16.5546875" style="435" bestFit="1" customWidth="1"/>
    <col min="15619" max="15619" width="98.44140625" style="435" bestFit="1" customWidth="1"/>
    <col min="15620" max="15620" width="10.44140625" style="435" bestFit="1" customWidth="1"/>
    <col min="15621" max="15621" width="0" style="435" hidden="1" customWidth="1"/>
    <col min="15622" max="15872" width="9.109375" style="435"/>
    <col min="15873" max="15873" width="10" style="435" bestFit="1" customWidth="1"/>
    <col min="15874" max="15874" width="16.5546875" style="435" bestFit="1" customWidth="1"/>
    <col min="15875" max="15875" width="98.44140625" style="435" bestFit="1" customWidth="1"/>
    <col min="15876" max="15876" width="10.44140625" style="435" bestFit="1" customWidth="1"/>
    <col min="15877" max="15877" width="0" style="435" hidden="1" customWidth="1"/>
    <col min="15878" max="16128" width="9.109375" style="435"/>
    <col min="16129" max="16129" width="10" style="435" bestFit="1" customWidth="1"/>
    <col min="16130" max="16130" width="16.5546875" style="435" bestFit="1" customWidth="1"/>
    <col min="16131" max="16131" width="98.44140625" style="435" bestFit="1" customWidth="1"/>
    <col min="16132" max="16132" width="10.44140625" style="435" bestFit="1" customWidth="1"/>
    <col min="16133" max="16133" width="0" style="435" hidden="1" customWidth="1"/>
    <col min="16134" max="16384" width="9.109375" style="435"/>
  </cols>
  <sheetData>
    <row r="1" spans="1:5" ht="11.25" customHeight="1"/>
    <row r="2" spans="1:5" ht="15" customHeight="1">
      <c r="A2" s="1106" t="s">
        <v>2636</v>
      </c>
      <c r="B2" s="1106"/>
      <c r="C2" s="1106"/>
      <c r="D2" s="1106"/>
    </row>
    <row r="3" spans="1:5" ht="14.25" customHeight="1" thickBot="1">
      <c r="A3" s="436"/>
      <c r="B3" s="436"/>
      <c r="C3" s="436"/>
      <c r="D3" s="436"/>
      <c r="E3" s="436"/>
    </row>
    <row r="4" spans="1:5" ht="13.8" thickBot="1">
      <c r="A4" s="437" t="s">
        <v>2603</v>
      </c>
      <c r="B4" s="438" t="s">
        <v>2604</v>
      </c>
      <c r="C4" s="438" t="s">
        <v>1577</v>
      </c>
      <c r="D4" s="439" t="s">
        <v>1128</v>
      </c>
      <c r="E4" s="440" t="s">
        <v>1128</v>
      </c>
    </row>
    <row r="5" spans="1:5" ht="12.9" customHeight="1">
      <c r="A5" s="1107" t="s">
        <v>1894</v>
      </c>
      <c r="B5" s="441" t="s">
        <v>2637</v>
      </c>
      <c r="C5" s="441" t="s">
        <v>2638</v>
      </c>
      <c r="D5" s="442">
        <f>E5/1000</f>
        <v>110</v>
      </c>
      <c r="E5" s="443">
        <v>110000</v>
      </c>
    </row>
    <row r="6" spans="1:5" ht="12.9" customHeight="1">
      <c r="A6" s="1103"/>
      <c r="B6" s="444"/>
      <c r="C6" s="444" t="s">
        <v>2639</v>
      </c>
      <c r="D6" s="445">
        <f t="shared" ref="D6:D69" si="0">E6/1000</f>
        <v>390</v>
      </c>
      <c r="E6" s="446">
        <v>390000</v>
      </c>
    </row>
    <row r="7" spans="1:5" ht="12.9" customHeight="1">
      <c r="A7" s="1103"/>
      <c r="B7" s="444" t="s">
        <v>2640</v>
      </c>
      <c r="C7" s="444" t="s">
        <v>2641</v>
      </c>
      <c r="D7" s="445">
        <f t="shared" si="0"/>
        <v>28.481999999999999</v>
      </c>
      <c r="E7" s="446">
        <v>28482</v>
      </c>
    </row>
    <row r="8" spans="1:5" ht="12.9" customHeight="1">
      <c r="A8" s="1103"/>
      <c r="B8" s="444" t="s">
        <v>2642</v>
      </c>
      <c r="C8" s="444" t="s">
        <v>2641</v>
      </c>
      <c r="D8" s="445">
        <f t="shared" si="0"/>
        <v>59.844000000000001</v>
      </c>
      <c r="E8" s="446">
        <v>59844</v>
      </c>
    </row>
    <row r="9" spans="1:5" ht="12.9" customHeight="1">
      <c r="A9" s="1103"/>
      <c r="B9" s="444"/>
      <c r="C9" s="444" t="s">
        <v>2643</v>
      </c>
      <c r="D9" s="445">
        <f t="shared" si="0"/>
        <v>45</v>
      </c>
      <c r="E9" s="446">
        <v>45000</v>
      </c>
    </row>
    <row r="10" spans="1:5" ht="12.9" customHeight="1">
      <c r="A10" s="1103"/>
      <c r="B10" s="444" t="s">
        <v>2644</v>
      </c>
      <c r="C10" s="444" t="s">
        <v>2645</v>
      </c>
      <c r="D10" s="445">
        <f t="shared" si="0"/>
        <v>3</v>
      </c>
      <c r="E10" s="446">
        <v>3000</v>
      </c>
    </row>
    <row r="11" spans="1:5" ht="12.9" customHeight="1">
      <c r="A11" s="1103"/>
      <c r="B11" s="444"/>
      <c r="C11" s="444" t="s">
        <v>2646</v>
      </c>
      <c r="D11" s="445">
        <f t="shared" si="0"/>
        <v>450</v>
      </c>
      <c r="E11" s="446">
        <v>450000</v>
      </c>
    </row>
    <row r="12" spans="1:5" ht="12.9" customHeight="1">
      <c r="A12" s="1103"/>
      <c r="B12" s="444"/>
      <c r="C12" s="444" t="s">
        <v>2638</v>
      </c>
      <c r="D12" s="445">
        <f t="shared" si="0"/>
        <v>100</v>
      </c>
      <c r="E12" s="446">
        <v>100000</v>
      </c>
    </row>
    <row r="13" spans="1:5" ht="12.9" customHeight="1">
      <c r="A13" s="1103"/>
      <c r="B13" s="444"/>
      <c r="C13" s="444" t="s">
        <v>2639</v>
      </c>
      <c r="D13" s="445">
        <f t="shared" si="0"/>
        <v>290</v>
      </c>
      <c r="E13" s="446">
        <v>290000</v>
      </c>
    </row>
    <row r="14" spans="1:5" ht="12.9" customHeight="1">
      <c r="A14" s="1103"/>
      <c r="B14" s="444" t="s">
        <v>2647</v>
      </c>
      <c r="C14" s="444" t="s">
        <v>2641</v>
      </c>
      <c r="D14" s="445">
        <f t="shared" si="0"/>
        <v>62.76</v>
      </c>
      <c r="E14" s="446">
        <v>62760</v>
      </c>
    </row>
    <row r="15" spans="1:5" ht="12.9" customHeight="1">
      <c r="A15" s="1103"/>
      <c r="B15" s="444"/>
      <c r="C15" s="444" t="s">
        <v>2638</v>
      </c>
      <c r="D15" s="445">
        <f t="shared" si="0"/>
        <v>200</v>
      </c>
      <c r="E15" s="446">
        <v>200000</v>
      </c>
    </row>
    <row r="16" spans="1:5" ht="12.9" customHeight="1">
      <c r="A16" s="1103"/>
      <c r="B16" s="444" t="s">
        <v>2648</v>
      </c>
      <c r="C16" s="444" t="s">
        <v>2641</v>
      </c>
      <c r="D16" s="445">
        <f t="shared" si="0"/>
        <v>26.3</v>
      </c>
      <c r="E16" s="446">
        <v>26300</v>
      </c>
    </row>
    <row r="17" spans="1:5" ht="12.9" customHeight="1">
      <c r="A17" s="1103"/>
      <c r="B17" s="444" t="s">
        <v>1894</v>
      </c>
      <c r="C17" s="444" t="s">
        <v>2649</v>
      </c>
      <c r="D17" s="445">
        <f t="shared" si="0"/>
        <v>20</v>
      </c>
      <c r="E17" s="446">
        <v>20000</v>
      </c>
    </row>
    <row r="18" spans="1:5" ht="12.9" customHeight="1">
      <c r="A18" s="1103"/>
      <c r="B18" s="444"/>
      <c r="C18" s="444" t="s">
        <v>2645</v>
      </c>
      <c r="D18" s="445">
        <f t="shared" si="0"/>
        <v>25</v>
      </c>
      <c r="E18" s="446">
        <v>25000</v>
      </c>
    </row>
    <row r="19" spans="1:5" ht="12.9" customHeight="1">
      <c r="A19" s="1103"/>
      <c r="B19" s="444"/>
      <c r="C19" s="444" t="s">
        <v>2650</v>
      </c>
      <c r="D19" s="445">
        <f t="shared" si="0"/>
        <v>1000</v>
      </c>
      <c r="E19" s="446">
        <v>1000000</v>
      </c>
    </row>
    <row r="20" spans="1:5" ht="12.9" customHeight="1">
      <c r="A20" s="1103"/>
      <c r="B20" s="444"/>
      <c r="C20" s="444" t="s">
        <v>2651</v>
      </c>
      <c r="D20" s="445">
        <f t="shared" si="0"/>
        <v>10</v>
      </c>
      <c r="E20" s="446">
        <v>10000</v>
      </c>
    </row>
    <row r="21" spans="1:5" ht="12.9" customHeight="1">
      <c r="A21" s="1103"/>
      <c r="B21" s="444"/>
      <c r="C21" s="444" t="s">
        <v>2652</v>
      </c>
      <c r="D21" s="445">
        <f t="shared" si="0"/>
        <v>258</v>
      </c>
      <c r="E21" s="446">
        <v>258000</v>
      </c>
    </row>
    <row r="22" spans="1:5" ht="12.9" customHeight="1">
      <c r="A22" s="1103"/>
      <c r="B22" s="444"/>
      <c r="C22" s="444" t="s">
        <v>2646</v>
      </c>
      <c r="D22" s="445">
        <f t="shared" si="0"/>
        <v>3900</v>
      </c>
      <c r="E22" s="446">
        <v>3900000</v>
      </c>
    </row>
    <row r="23" spans="1:5" ht="12.9" customHeight="1">
      <c r="A23" s="1103"/>
      <c r="B23" s="444"/>
      <c r="C23" s="444" t="s">
        <v>2653</v>
      </c>
      <c r="D23" s="445">
        <f t="shared" si="0"/>
        <v>1204</v>
      </c>
      <c r="E23" s="446">
        <v>1204000</v>
      </c>
    </row>
    <row r="24" spans="1:5" ht="12.9" customHeight="1">
      <c r="A24" s="1103"/>
      <c r="B24" s="444"/>
      <c r="C24" s="444" t="s">
        <v>2654</v>
      </c>
      <c r="D24" s="445">
        <f t="shared" si="0"/>
        <v>600</v>
      </c>
      <c r="E24" s="446">
        <v>600000</v>
      </c>
    </row>
    <row r="25" spans="1:5" ht="12.9" customHeight="1">
      <c r="A25" s="1103"/>
      <c r="B25" s="444" t="s">
        <v>2655</v>
      </c>
      <c r="C25" s="444" t="s">
        <v>2638</v>
      </c>
      <c r="D25" s="445">
        <f t="shared" si="0"/>
        <v>210</v>
      </c>
      <c r="E25" s="446">
        <v>210000</v>
      </c>
    </row>
    <row r="26" spans="1:5" ht="12.9" customHeight="1">
      <c r="A26" s="1103"/>
      <c r="B26" s="444" t="s">
        <v>2656</v>
      </c>
      <c r="C26" s="444" t="s">
        <v>2657</v>
      </c>
      <c r="D26" s="445">
        <f t="shared" si="0"/>
        <v>100</v>
      </c>
      <c r="E26" s="446">
        <v>100000</v>
      </c>
    </row>
    <row r="27" spans="1:5" ht="12.9" customHeight="1">
      <c r="A27" s="1103"/>
      <c r="B27" s="444" t="s">
        <v>2658</v>
      </c>
      <c r="C27" s="444" t="s">
        <v>2657</v>
      </c>
      <c r="D27" s="445">
        <f t="shared" si="0"/>
        <v>100</v>
      </c>
      <c r="E27" s="446">
        <v>100000</v>
      </c>
    </row>
    <row r="28" spans="1:5" ht="12.9" customHeight="1">
      <c r="A28" s="1103"/>
      <c r="B28" s="444"/>
      <c r="C28" s="444" t="s">
        <v>2641</v>
      </c>
      <c r="D28" s="445">
        <f t="shared" si="0"/>
        <v>103.76</v>
      </c>
      <c r="E28" s="446">
        <v>103760</v>
      </c>
    </row>
    <row r="29" spans="1:5" ht="12.9" customHeight="1">
      <c r="A29" s="1103"/>
      <c r="B29" s="444" t="s">
        <v>2605</v>
      </c>
      <c r="C29" s="444" t="s">
        <v>2652</v>
      </c>
      <c r="D29" s="445">
        <f t="shared" si="0"/>
        <v>18.5</v>
      </c>
      <c r="E29" s="446">
        <v>18500</v>
      </c>
    </row>
    <row r="30" spans="1:5" ht="12.9" customHeight="1">
      <c r="A30" s="1103"/>
      <c r="B30" s="444" t="s">
        <v>2659</v>
      </c>
      <c r="C30" s="444" t="s">
        <v>2641</v>
      </c>
      <c r="D30" s="445">
        <f t="shared" si="0"/>
        <v>17.315999999999999</v>
      </c>
      <c r="E30" s="446">
        <v>17316</v>
      </c>
    </row>
    <row r="31" spans="1:5" ht="12.9" customHeight="1">
      <c r="A31" s="1103"/>
      <c r="B31" s="444"/>
      <c r="C31" s="444" t="s">
        <v>2638</v>
      </c>
      <c r="D31" s="445">
        <f t="shared" si="0"/>
        <v>280</v>
      </c>
      <c r="E31" s="446">
        <v>280000</v>
      </c>
    </row>
    <row r="32" spans="1:5" ht="12.9" customHeight="1">
      <c r="A32" s="1103"/>
      <c r="B32" s="444" t="s">
        <v>2660</v>
      </c>
      <c r="C32" s="444" t="s">
        <v>2646</v>
      </c>
      <c r="D32" s="445">
        <f t="shared" si="0"/>
        <v>3000</v>
      </c>
      <c r="E32" s="446">
        <v>3000000</v>
      </c>
    </row>
    <row r="33" spans="1:5" ht="12.9" customHeight="1">
      <c r="A33" s="1103"/>
      <c r="B33" s="444"/>
      <c r="C33" s="444" t="s">
        <v>2638</v>
      </c>
      <c r="D33" s="445">
        <f t="shared" si="0"/>
        <v>140</v>
      </c>
      <c r="E33" s="446">
        <v>140000</v>
      </c>
    </row>
    <row r="34" spans="1:5" ht="12.9" customHeight="1">
      <c r="A34" s="1103"/>
      <c r="B34" s="444" t="s">
        <v>2661</v>
      </c>
      <c r="C34" s="444" t="s">
        <v>2645</v>
      </c>
      <c r="D34" s="445">
        <f t="shared" si="0"/>
        <v>10</v>
      </c>
      <c r="E34" s="446">
        <v>10000</v>
      </c>
    </row>
    <row r="35" spans="1:5" ht="12.9" customHeight="1">
      <c r="A35" s="1103"/>
      <c r="B35" s="444"/>
      <c r="C35" s="444" t="s">
        <v>2651</v>
      </c>
      <c r="D35" s="445">
        <f t="shared" si="0"/>
        <v>20</v>
      </c>
      <c r="E35" s="446">
        <v>20000</v>
      </c>
    </row>
    <row r="36" spans="1:5" ht="12.9" customHeight="1">
      <c r="A36" s="1103"/>
      <c r="B36" s="444"/>
      <c r="C36" s="444" t="s">
        <v>2662</v>
      </c>
      <c r="D36" s="445">
        <f t="shared" si="0"/>
        <v>37.44</v>
      </c>
      <c r="E36" s="446">
        <v>37440</v>
      </c>
    </row>
    <row r="37" spans="1:5" ht="12.9" customHeight="1">
      <c r="A37" s="1103"/>
      <c r="B37" s="444"/>
      <c r="C37" s="444" t="s">
        <v>2638</v>
      </c>
      <c r="D37" s="445">
        <f t="shared" si="0"/>
        <v>150</v>
      </c>
      <c r="E37" s="446">
        <v>150000</v>
      </c>
    </row>
    <row r="38" spans="1:5" ht="12.9" customHeight="1">
      <c r="A38" s="1104"/>
      <c r="B38" s="444"/>
      <c r="C38" s="444" t="s">
        <v>2663</v>
      </c>
      <c r="D38" s="445">
        <f t="shared" si="0"/>
        <v>250</v>
      </c>
      <c r="E38" s="446">
        <v>250000</v>
      </c>
    </row>
    <row r="39" spans="1:5" ht="12.9" customHeight="1">
      <c r="A39" s="1093" t="s">
        <v>1894</v>
      </c>
      <c r="B39" s="444" t="s">
        <v>2664</v>
      </c>
      <c r="C39" s="444" t="s">
        <v>2665</v>
      </c>
      <c r="D39" s="445">
        <f t="shared" si="0"/>
        <v>50</v>
      </c>
      <c r="E39" s="446">
        <v>50000</v>
      </c>
    </row>
    <row r="40" spans="1:5" ht="12.9" customHeight="1">
      <c r="A40" s="1094"/>
      <c r="B40" s="444"/>
      <c r="C40" s="444" t="s">
        <v>2638</v>
      </c>
      <c r="D40" s="445">
        <f t="shared" si="0"/>
        <v>100</v>
      </c>
      <c r="E40" s="446">
        <v>100000</v>
      </c>
    </row>
    <row r="41" spans="1:5" ht="12.9" customHeight="1">
      <c r="A41" s="1094"/>
      <c r="B41" s="444" t="s">
        <v>2666</v>
      </c>
      <c r="C41" s="444" t="s">
        <v>2654</v>
      </c>
      <c r="D41" s="445">
        <f t="shared" si="0"/>
        <v>184</v>
      </c>
      <c r="E41" s="446">
        <v>184000</v>
      </c>
    </row>
    <row r="42" spans="1:5" ht="12.9" customHeight="1">
      <c r="A42" s="1094"/>
      <c r="B42" s="444" t="s">
        <v>2667</v>
      </c>
      <c r="C42" s="444" t="s">
        <v>2638</v>
      </c>
      <c r="D42" s="445">
        <f t="shared" si="0"/>
        <v>100</v>
      </c>
      <c r="E42" s="446">
        <v>100000</v>
      </c>
    </row>
    <row r="43" spans="1:5" ht="12.9" customHeight="1">
      <c r="A43" s="1094"/>
      <c r="B43" s="444" t="s">
        <v>2668</v>
      </c>
      <c r="C43" s="444" t="s">
        <v>2638</v>
      </c>
      <c r="D43" s="445">
        <f t="shared" si="0"/>
        <v>130</v>
      </c>
      <c r="E43" s="446">
        <v>130000</v>
      </c>
    </row>
    <row r="44" spans="1:5" ht="12.9" customHeight="1">
      <c r="A44" s="1094"/>
      <c r="B44" s="444" t="s">
        <v>2669</v>
      </c>
      <c r="C44" s="444" t="s">
        <v>2641</v>
      </c>
      <c r="D44" s="445">
        <f t="shared" si="0"/>
        <v>157.37200000000001</v>
      </c>
      <c r="E44" s="446">
        <v>157372</v>
      </c>
    </row>
    <row r="45" spans="1:5" ht="12.9" customHeight="1">
      <c r="A45" s="1094"/>
      <c r="B45" s="444"/>
      <c r="C45" s="444" t="s">
        <v>2670</v>
      </c>
      <c r="D45" s="445">
        <f t="shared" si="0"/>
        <v>15</v>
      </c>
      <c r="E45" s="446">
        <v>15000</v>
      </c>
    </row>
    <row r="46" spans="1:5" ht="12.9" customHeight="1">
      <c r="A46" s="1094"/>
      <c r="B46" s="444"/>
      <c r="C46" s="444" t="s">
        <v>2652</v>
      </c>
      <c r="D46" s="445">
        <f t="shared" si="0"/>
        <v>85</v>
      </c>
      <c r="E46" s="446">
        <v>85000</v>
      </c>
    </row>
    <row r="47" spans="1:5" ht="12.9" customHeight="1">
      <c r="A47" s="1094"/>
      <c r="B47" s="444" t="s">
        <v>2671</v>
      </c>
      <c r="C47" s="444" t="s">
        <v>2672</v>
      </c>
      <c r="D47" s="445">
        <f t="shared" si="0"/>
        <v>20</v>
      </c>
      <c r="E47" s="446">
        <v>20000</v>
      </c>
    </row>
    <row r="48" spans="1:5" ht="12.9" customHeight="1">
      <c r="A48" s="1094"/>
      <c r="B48" s="444"/>
      <c r="C48" s="444" t="s">
        <v>2670</v>
      </c>
      <c r="D48" s="445">
        <f t="shared" si="0"/>
        <v>10</v>
      </c>
      <c r="E48" s="446">
        <v>10000</v>
      </c>
    </row>
    <row r="49" spans="1:5" ht="12.9" customHeight="1">
      <c r="A49" s="1094"/>
      <c r="B49" s="444"/>
      <c r="C49" s="444" t="s">
        <v>2646</v>
      </c>
      <c r="D49" s="445">
        <f t="shared" si="0"/>
        <v>900</v>
      </c>
      <c r="E49" s="446">
        <v>900000</v>
      </c>
    </row>
    <row r="50" spans="1:5" ht="12.9" customHeight="1">
      <c r="A50" s="1094"/>
      <c r="B50" s="444" t="s">
        <v>2673</v>
      </c>
      <c r="C50" s="444" t="s">
        <v>2638</v>
      </c>
      <c r="D50" s="445">
        <f t="shared" si="0"/>
        <v>270</v>
      </c>
      <c r="E50" s="446">
        <v>270000</v>
      </c>
    </row>
    <row r="51" spans="1:5" ht="12.9" customHeight="1">
      <c r="A51" s="1094"/>
      <c r="B51" s="444"/>
      <c r="C51" s="444" t="s">
        <v>2674</v>
      </c>
      <c r="D51" s="445">
        <f t="shared" si="0"/>
        <v>50</v>
      </c>
      <c r="E51" s="446">
        <v>50000</v>
      </c>
    </row>
    <row r="52" spans="1:5" ht="12.9" customHeight="1">
      <c r="A52" s="1094"/>
      <c r="B52" s="444" t="s">
        <v>2675</v>
      </c>
      <c r="C52" s="444" t="s">
        <v>2641</v>
      </c>
      <c r="D52" s="445">
        <f t="shared" si="0"/>
        <v>18.443999999999999</v>
      </c>
      <c r="E52" s="446">
        <v>18444</v>
      </c>
    </row>
    <row r="53" spans="1:5" ht="12.9" customHeight="1">
      <c r="A53" s="1094"/>
      <c r="B53" s="444"/>
      <c r="C53" s="444" t="s">
        <v>2638</v>
      </c>
      <c r="D53" s="445">
        <f t="shared" si="0"/>
        <v>200</v>
      </c>
      <c r="E53" s="446">
        <v>200000</v>
      </c>
    </row>
    <row r="54" spans="1:5" ht="12.9" customHeight="1">
      <c r="A54" s="1094"/>
      <c r="B54" s="444"/>
      <c r="C54" s="444" t="s">
        <v>2639</v>
      </c>
      <c r="D54" s="445">
        <f t="shared" si="0"/>
        <v>200</v>
      </c>
      <c r="E54" s="446">
        <v>200000</v>
      </c>
    </row>
    <row r="55" spans="1:5" ht="12.9" customHeight="1">
      <c r="A55" s="1094"/>
      <c r="B55" s="444" t="s">
        <v>2676</v>
      </c>
      <c r="C55" s="444" t="s">
        <v>2641</v>
      </c>
      <c r="D55" s="445">
        <f t="shared" si="0"/>
        <v>14</v>
      </c>
      <c r="E55" s="446">
        <v>14000</v>
      </c>
    </row>
    <row r="56" spans="1:5" ht="12.9" customHeight="1">
      <c r="A56" s="1094"/>
      <c r="B56" s="444" t="s">
        <v>2677</v>
      </c>
      <c r="C56" s="444" t="s">
        <v>2638</v>
      </c>
      <c r="D56" s="445">
        <f t="shared" si="0"/>
        <v>180</v>
      </c>
      <c r="E56" s="446">
        <v>180000</v>
      </c>
    </row>
    <row r="57" spans="1:5" ht="12.9" customHeight="1">
      <c r="A57" s="1094"/>
      <c r="B57" s="444" t="s">
        <v>2678</v>
      </c>
      <c r="C57" s="444" t="s">
        <v>2641</v>
      </c>
      <c r="D57" s="445">
        <f t="shared" si="0"/>
        <v>3.6</v>
      </c>
      <c r="E57" s="446">
        <v>3600</v>
      </c>
    </row>
    <row r="58" spans="1:5" ht="12.9" customHeight="1">
      <c r="A58" s="1094"/>
      <c r="B58" s="444"/>
      <c r="C58" s="444" t="s">
        <v>2679</v>
      </c>
      <c r="D58" s="445">
        <f t="shared" si="0"/>
        <v>20</v>
      </c>
      <c r="E58" s="446">
        <v>20000</v>
      </c>
    </row>
    <row r="59" spans="1:5" ht="12.9" customHeight="1">
      <c r="A59" s="1094"/>
      <c r="B59" s="444"/>
      <c r="C59" s="444" t="s">
        <v>2665</v>
      </c>
      <c r="D59" s="445">
        <f t="shared" si="0"/>
        <v>50</v>
      </c>
      <c r="E59" s="446">
        <v>50000</v>
      </c>
    </row>
    <row r="60" spans="1:5" ht="12.9" customHeight="1">
      <c r="A60" s="1094"/>
      <c r="B60" s="444"/>
      <c r="C60" s="444" t="s">
        <v>2638</v>
      </c>
      <c r="D60" s="445">
        <f t="shared" si="0"/>
        <v>160</v>
      </c>
      <c r="E60" s="446">
        <v>160000</v>
      </c>
    </row>
    <row r="61" spans="1:5" ht="12.9" customHeight="1">
      <c r="A61" s="1094"/>
      <c r="B61" s="444" t="s">
        <v>2680</v>
      </c>
      <c r="C61" s="444" t="s">
        <v>2638</v>
      </c>
      <c r="D61" s="445">
        <f t="shared" si="0"/>
        <v>200</v>
      </c>
      <c r="E61" s="446">
        <v>200000</v>
      </c>
    </row>
    <row r="62" spans="1:5" ht="12.9" customHeight="1">
      <c r="A62" s="1094"/>
      <c r="B62" s="444"/>
      <c r="C62" s="444" t="s">
        <v>2639</v>
      </c>
      <c r="D62" s="445">
        <f t="shared" si="0"/>
        <v>400</v>
      </c>
      <c r="E62" s="446">
        <v>400000</v>
      </c>
    </row>
    <row r="63" spans="1:5" ht="12.9" customHeight="1">
      <c r="A63" s="1094"/>
      <c r="B63" s="444" t="s">
        <v>2681</v>
      </c>
      <c r="C63" s="444" t="s">
        <v>2641</v>
      </c>
      <c r="D63" s="445">
        <f t="shared" si="0"/>
        <v>119.16</v>
      </c>
      <c r="E63" s="446">
        <v>119160</v>
      </c>
    </row>
    <row r="64" spans="1:5" ht="12.9" customHeight="1">
      <c r="A64" s="1094"/>
      <c r="B64" s="444"/>
      <c r="C64" s="444" t="s">
        <v>2638</v>
      </c>
      <c r="D64" s="445">
        <f t="shared" si="0"/>
        <v>230</v>
      </c>
      <c r="E64" s="446">
        <v>230000</v>
      </c>
    </row>
    <row r="65" spans="1:5" ht="12.9" customHeight="1">
      <c r="A65" s="1094"/>
      <c r="B65" s="444" t="s">
        <v>2682</v>
      </c>
      <c r="C65" s="444" t="s">
        <v>2638</v>
      </c>
      <c r="D65" s="445">
        <f t="shared" si="0"/>
        <v>190</v>
      </c>
      <c r="E65" s="446">
        <v>190000</v>
      </c>
    </row>
    <row r="66" spans="1:5" ht="12.9" customHeight="1">
      <c r="A66" s="1094"/>
      <c r="B66" s="444" t="s">
        <v>2683</v>
      </c>
      <c r="C66" s="444" t="s">
        <v>2641</v>
      </c>
      <c r="D66" s="445">
        <f t="shared" si="0"/>
        <v>37.923999999999999</v>
      </c>
      <c r="E66" s="446">
        <v>37924</v>
      </c>
    </row>
    <row r="67" spans="1:5" ht="12.9" customHeight="1">
      <c r="A67" s="1094"/>
      <c r="B67" s="444"/>
      <c r="C67" s="444" t="s">
        <v>2638</v>
      </c>
      <c r="D67" s="445">
        <f t="shared" si="0"/>
        <v>200</v>
      </c>
      <c r="E67" s="446">
        <v>200000</v>
      </c>
    </row>
    <row r="68" spans="1:5" ht="12.9" customHeight="1">
      <c r="A68" s="1094"/>
      <c r="B68" s="444" t="s">
        <v>2684</v>
      </c>
      <c r="C68" s="444" t="s">
        <v>2638</v>
      </c>
      <c r="D68" s="445">
        <f t="shared" si="0"/>
        <v>110</v>
      </c>
      <c r="E68" s="446">
        <v>110000</v>
      </c>
    </row>
    <row r="69" spans="1:5" ht="12.9" customHeight="1">
      <c r="A69" s="1094"/>
      <c r="B69" s="444" t="s">
        <v>2685</v>
      </c>
      <c r="C69" s="444" t="s">
        <v>2641</v>
      </c>
      <c r="D69" s="445">
        <f t="shared" si="0"/>
        <v>16.847999999999999</v>
      </c>
      <c r="E69" s="446">
        <v>16848</v>
      </c>
    </row>
    <row r="70" spans="1:5" ht="12.9" customHeight="1">
      <c r="A70" s="1094"/>
      <c r="B70" s="444" t="s">
        <v>2686</v>
      </c>
      <c r="C70" s="444" t="s">
        <v>2638</v>
      </c>
      <c r="D70" s="445">
        <f t="shared" ref="D70:D133" si="1">E70/1000</f>
        <v>300</v>
      </c>
      <c r="E70" s="446">
        <v>300000</v>
      </c>
    </row>
    <row r="71" spans="1:5" ht="12.9" customHeight="1">
      <c r="A71" s="1094"/>
      <c r="B71" s="444"/>
      <c r="C71" s="444" t="s">
        <v>2639</v>
      </c>
      <c r="D71" s="445">
        <f t="shared" si="1"/>
        <v>250</v>
      </c>
      <c r="E71" s="446">
        <v>250000</v>
      </c>
    </row>
    <row r="72" spans="1:5" ht="12.9" customHeight="1">
      <c r="A72" s="1094"/>
      <c r="B72" s="444" t="s">
        <v>2687</v>
      </c>
      <c r="C72" s="444" t="s">
        <v>2638</v>
      </c>
      <c r="D72" s="445">
        <f t="shared" si="1"/>
        <v>200</v>
      </c>
      <c r="E72" s="446">
        <v>200000</v>
      </c>
    </row>
    <row r="73" spans="1:5" ht="12.9" customHeight="1">
      <c r="A73" s="1094"/>
      <c r="B73" s="444" t="s">
        <v>2688</v>
      </c>
      <c r="C73" s="444" t="s">
        <v>2638</v>
      </c>
      <c r="D73" s="445">
        <f t="shared" si="1"/>
        <v>104</v>
      </c>
      <c r="E73" s="446">
        <v>104000</v>
      </c>
    </row>
    <row r="74" spans="1:5" ht="12.9" customHeight="1">
      <c r="A74" s="1094"/>
      <c r="B74" s="444" t="s">
        <v>2689</v>
      </c>
      <c r="C74" s="444" t="s">
        <v>2641</v>
      </c>
      <c r="D74" s="445">
        <f t="shared" si="1"/>
        <v>17.55</v>
      </c>
      <c r="E74" s="446">
        <v>17550</v>
      </c>
    </row>
    <row r="75" spans="1:5" ht="12.9" customHeight="1">
      <c r="A75" s="1094"/>
      <c r="B75" s="444" t="s">
        <v>2690</v>
      </c>
      <c r="C75" s="444" t="s">
        <v>2638</v>
      </c>
      <c r="D75" s="445">
        <f t="shared" si="1"/>
        <v>110</v>
      </c>
      <c r="E75" s="446">
        <v>110000</v>
      </c>
    </row>
    <row r="76" spans="1:5" ht="12.9" customHeight="1">
      <c r="A76" s="1095"/>
      <c r="B76" s="444" t="s">
        <v>2691</v>
      </c>
      <c r="C76" s="444" t="s">
        <v>2641</v>
      </c>
      <c r="D76" s="445">
        <f t="shared" si="1"/>
        <v>95.95</v>
      </c>
      <c r="E76" s="446">
        <v>95950</v>
      </c>
    </row>
    <row r="77" spans="1:5" ht="12.9" customHeight="1">
      <c r="A77" s="1093" t="s">
        <v>1894</v>
      </c>
      <c r="B77" s="444" t="s">
        <v>2692</v>
      </c>
      <c r="C77" s="444" t="s">
        <v>2641</v>
      </c>
      <c r="D77" s="445">
        <f t="shared" si="1"/>
        <v>40.4</v>
      </c>
      <c r="E77" s="446">
        <v>40400</v>
      </c>
    </row>
    <row r="78" spans="1:5" ht="12.9" customHeight="1">
      <c r="A78" s="1103"/>
      <c r="B78" s="444" t="s">
        <v>2693</v>
      </c>
      <c r="C78" s="444" t="s">
        <v>2639</v>
      </c>
      <c r="D78" s="445">
        <f t="shared" si="1"/>
        <v>500</v>
      </c>
      <c r="E78" s="446">
        <v>500000</v>
      </c>
    </row>
    <row r="79" spans="1:5" ht="12.9" customHeight="1">
      <c r="A79" s="1103"/>
      <c r="B79" s="444" t="s">
        <v>2694</v>
      </c>
      <c r="C79" s="444" t="s">
        <v>2638</v>
      </c>
      <c r="D79" s="445">
        <f t="shared" si="1"/>
        <v>130</v>
      </c>
      <c r="E79" s="446">
        <v>130000</v>
      </c>
    </row>
    <row r="80" spans="1:5" ht="12.9" customHeight="1">
      <c r="A80" s="1103"/>
      <c r="B80" s="444" t="s">
        <v>2606</v>
      </c>
      <c r="C80" s="444" t="s">
        <v>2641</v>
      </c>
      <c r="D80" s="445">
        <f t="shared" si="1"/>
        <v>138.51</v>
      </c>
      <c r="E80" s="446">
        <v>138510</v>
      </c>
    </row>
    <row r="81" spans="1:5" ht="12.9" customHeight="1">
      <c r="A81" s="1103"/>
      <c r="B81" s="444"/>
      <c r="C81" s="444" t="s">
        <v>2645</v>
      </c>
      <c r="D81" s="445">
        <f t="shared" si="1"/>
        <v>10</v>
      </c>
      <c r="E81" s="446">
        <v>10000</v>
      </c>
    </row>
    <row r="82" spans="1:5" ht="12.9" customHeight="1">
      <c r="A82" s="1103"/>
      <c r="B82" s="444"/>
      <c r="C82" s="444" t="s">
        <v>2651</v>
      </c>
      <c r="D82" s="445">
        <f t="shared" si="1"/>
        <v>15</v>
      </c>
      <c r="E82" s="446">
        <v>15000</v>
      </c>
    </row>
    <row r="83" spans="1:5" ht="12.9" customHeight="1">
      <c r="A83" s="1103"/>
      <c r="B83" s="444" t="s">
        <v>2695</v>
      </c>
      <c r="C83" s="444" t="s">
        <v>2641</v>
      </c>
      <c r="D83" s="445">
        <f t="shared" si="1"/>
        <v>170.459</v>
      </c>
      <c r="E83" s="446">
        <v>170459</v>
      </c>
    </row>
    <row r="84" spans="1:5" ht="12.9" customHeight="1">
      <c r="A84" s="1103"/>
      <c r="B84" s="444" t="s">
        <v>2696</v>
      </c>
      <c r="C84" s="444" t="s">
        <v>2641</v>
      </c>
      <c r="D84" s="445">
        <f t="shared" si="1"/>
        <v>68.171999999999997</v>
      </c>
      <c r="E84" s="446">
        <v>68172</v>
      </c>
    </row>
    <row r="85" spans="1:5" ht="12.9" customHeight="1">
      <c r="A85" s="1103"/>
      <c r="B85" s="444"/>
      <c r="C85" s="444" t="s">
        <v>2638</v>
      </c>
      <c r="D85" s="445">
        <f t="shared" si="1"/>
        <v>180</v>
      </c>
      <c r="E85" s="446">
        <v>180000</v>
      </c>
    </row>
    <row r="86" spans="1:5" ht="12.9" customHeight="1">
      <c r="A86" s="1103"/>
      <c r="B86" s="444"/>
      <c r="C86" s="444" t="s">
        <v>2639</v>
      </c>
      <c r="D86" s="445">
        <f t="shared" si="1"/>
        <v>200</v>
      </c>
      <c r="E86" s="446">
        <v>200000</v>
      </c>
    </row>
    <row r="87" spans="1:5" ht="12.9" customHeight="1">
      <c r="A87" s="1103"/>
      <c r="B87" s="444" t="s">
        <v>2697</v>
      </c>
      <c r="C87" s="444" t="s">
        <v>2638</v>
      </c>
      <c r="D87" s="445">
        <f t="shared" si="1"/>
        <v>300</v>
      </c>
      <c r="E87" s="446">
        <v>300000</v>
      </c>
    </row>
    <row r="88" spans="1:5" ht="12.9" customHeight="1">
      <c r="A88" s="1103"/>
      <c r="B88" s="444" t="s">
        <v>2698</v>
      </c>
      <c r="C88" s="444" t="s">
        <v>2641</v>
      </c>
      <c r="D88" s="445">
        <f t="shared" si="1"/>
        <v>14.7</v>
      </c>
      <c r="E88" s="446">
        <v>14700</v>
      </c>
    </row>
    <row r="89" spans="1:5" ht="12.9" customHeight="1">
      <c r="A89" s="1103"/>
      <c r="B89" s="444"/>
      <c r="C89" s="444" t="s">
        <v>2638</v>
      </c>
      <c r="D89" s="445">
        <f t="shared" si="1"/>
        <v>300</v>
      </c>
      <c r="E89" s="446">
        <v>300000</v>
      </c>
    </row>
    <row r="90" spans="1:5" ht="12.9" customHeight="1">
      <c r="A90" s="1103"/>
      <c r="B90" s="444"/>
      <c r="C90" s="444" t="s">
        <v>2639</v>
      </c>
      <c r="D90" s="445">
        <f t="shared" si="1"/>
        <v>140</v>
      </c>
      <c r="E90" s="446">
        <v>140000</v>
      </c>
    </row>
    <row r="91" spans="1:5" ht="12.9" customHeight="1">
      <c r="A91" s="1103"/>
      <c r="B91" s="444" t="s">
        <v>2699</v>
      </c>
      <c r="C91" s="444" t="s">
        <v>2638</v>
      </c>
      <c r="D91" s="445">
        <f t="shared" si="1"/>
        <v>280</v>
      </c>
      <c r="E91" s="446">
        <v>280000</v>
      </c>
    </row>
    <row r="92" spans="1:5" ht="12.9" customHeight="1">
      <c r="A92" s="1103"/>
      <c r="B92" s="444" t="s">
        <v>2700</v>
      </c>
      <c r="C92" s="444" t="s">
        <v>2641</v>
      </c>
      <c r="D92" s="445">
        <f t="shared" si="1"/>
        <v>82.272000000000006</v>
      </c>
      <c r="E92" s="446">
        <v>82272</v>
      </c>
    </row>
    <row r="93" spans="1:5" ht="12.9" customHeight="1">
      <c r="A93" s="1103"/>
      <c r="B93" s="444" t="s">
        <v>2701</v>
      </c>
      <c r="C93" s="444" t="s">
        <v>2638</v>
      </c>
      <c r="D93" s="445">
        <f t="shared" si="1"/>
        <v>222</v>
      </c>
      <c r="E93" s="446">
        <v>222000</v>
      </c>
    </row>
    <row r="94" spans="1:5" ht="12.9" customHeight="1">
      <c r="A94" s="1103"/>
      <c r="B94" s="444" t="s">
        <v>2702</v>
      </c>
      <c r="C94" s="444" t="s">
        <v>2641</v>
      </c>
      <c r="D94" s="445">
        <f t="shared" si="1"/>
        <v>70.95</v>
      </c>
      <c r="E94" s="446">
        <v>70950</v>
      </c>
    </row>
    <row r="95" spans="1:5" ht="12.9" customHeight="1">
      <c r="A95" s="1103"/>
      <c r="B95" s="444" t="s">
        <v>2703</v>
      </c>
      <c r="C95" s="444" t="s">
        <v>2638</v>
      </c>
      <c r="D95" s="445">
        <f t="shared" si="1"/>
        <v>180</v>
      </c>
      <c r="E95" s="446">
        <v>180000</v>
      </c>
    </row>
    <row r="96" spans="1:5" ht="12.9" customHeight="1">
      <c r="A96" s="1103"/>
      <c r="B96" s="444" t="s">
        <v>2704</v>
      </c>
      <c r="C96" s="444" t="s">
        <v>2638</v>
      </c>
      <c r="D96" s="445">
        <f t="shared" si="1"/>
        <v>150</v>
      </c>
      <c r="E96" s="446">
        <v>150000</v>
      </c>
    </row>
    <row r="97" spans="1:5" ht="12.9" customHeight="1">
      <c r="A97" s="1103"/>
      <c r="B97" s="444" t="s">
        <v>2705</v>
      </c>
      <c r="C97" s="444" t="s">
        <v>2641</v>
      </c>
      <c r="D97" s="445">
        <f t="shared" si="1"/>
        <v>38.85</v>
      </c>
      <c r="E97" s="446">
        <v>38850</v>
      </c>
    </row>
    <row r="98" spans="1:5" ht="12.9" customHeight="1">
      <c r="A98" s="1103"/>
      <c r="B98" s="444"/>
      <c r="C98" s="444" t="s">
        <v>2679</v>
      </c>
      <c r="D98" s="445">
        <f t="shared" si="1"/>
        <v>50</v>
      </c>
      <c r="E98" s="446">
        <v>50000</v>
      </c>
    </row>
    <row r="99" spans="1:5" ht="12.9" customHeight="1">
      <c r="A99" s="1103"/>
      <c r="B99" s="444"/>
      <c r="C99" s="444" t="s">
        <v>2639</v>
      </c>
      <c r="D99" s="445">
        <f t="shared" si="1"/>
        <v>80</v>
      </c>
      <c r="E99" s="446">
        <v>80000</v>
      </c>
    </row>
    <row r="100" spans="1:5" ht="12.9" customHeight="1">
      <c r="A100" s="1103"/>
      <c r="B100" s="444" t="s">
        <v>2706</v>
      </c>
      <c r="C100" s="444" t="s">
        <v>2641</v>
      </c>
      <c r="D100" s="445">
        <f t="shared" si="1"/>
        <v>15.444000000000001</v>
      </c>
      <c r="E100" s="446">
        <v>15444</v>
      </c>
    </row>
    <row r="101" spans="1:5" ht="12.9" customHeight="1">
      <c r="A101" s="1103"/>
      <c r="B101" s="444"/>
      <c r="C101" s="444" t="s">
        <v>2638</v>
      </c>
      <c r="D101" s="445">
        <f t="shared" si="1"/>
        <v>200</v>
      </c>
      <c r="E101" s="446">
        <v>200000</v>
      </c>
    </row>
    <row r="102" spans="1:5" ht="12.9" customHeight="1">
      <c r="A102" s="1103"/>
      <c r="B102" s="444" t="s">
        <v>2707</v>
      </c>
      <c r="C102" s="444" t="s">
        <v>2638</v>
      </c>
      <c r="D102" s="445">
        <f t="shared" si="1"/>
        <v>210</v>
      </c>
      <c r="E102" s="446">
        <v>210000</v>
      </c>
    </row>
    <row r="103" spans="1:5" ht="12.9" customHeight="1">
      <c r="A103" s="1103"/>
      <c r="B103" s="444" t="s">
        <v>2708</v>
      </c>
      <c r="C103" s="444" t="s">
        <v>2638</v>
      </c>
      <c r="D103" s="445">
        <f t="shared" si="1"/>
        <v>150</v>
      </c>
      <c r="E103" s="446">
        <v>150000</v>
      </c>
    </row>
    <row r="104" spans="1:5" ht="12.9" customHeight="1">
      <c r="A104" s="1103"/>
      <c r="B104" s="444" t="s">
        <v>2709</v>
      </c>
      <c r="C104" s="444" t="s">
        <v>2638</v>
      </c>
      <c r="D104" s="445">
        <f t="shared" si="1"/>
        <v>230</v>
      </c>
      <c r="E104" s="446">
        <v>230000</v>
      </c>
    </row>
    <row r="105" spans="1:5" ht="12.9" customHeight="1">
      <c r="A105" s="1103"/>
      <c r="B105" s="444" t="s">
        <v>2710</v>
      </c>
      <c r="C105" s="444" t="s">
        <v>2657</v>
      </c>
      <c r="D105" s="445">
        <f t="shared" si="1"/>
        <v>100</v>
      </c>
      <c r="E105" s="446">
        <v>100000</v>
      </c>
    </row>
    <row r="106" spans="1:5" ht="12.9" customHeight="1">
      <c r="A106" s="1103"/>
      <c r="B106" s="444"/>
      <c r="C106" s="444" t="s">
        <v>2641</v>
      </c>
      <c r="D106" s="445">
        <f t="shared" si="1"/>
        <v>21</v>
      </c>
      <c r="E106" s="446">
        <v>21000</v>
      </c>
    </row>
    <row r="107" spans="1:5" ht="12.9" customHeight="1">
      <c r="A107" s="1103"/>
      <c r="B107" s="444" t="s">
        <v>2711</v>
      </c>
      <c r="C107" s="444" t="s">
        <v>2641</v>
      </c>
      <c r="D107" s="445">
        <f t="shared" si="1"/>
        <v>8.5500000000000007</v>
      </c>
      <c r="E107" s="446">
        <v>8550</v>
      </c>
    </row>
    <row r="108" spans="1:5" ht="12.9" customHeight="1">
      <c r="A108" s="1103"/>
      <c r="B108" s="444"/>
      <c r="C108" s="444" t="s">
        <v>2646</v>
      </c>
      <c r="D108" s="445">
        <f t="shared" si="1"/>
        <v>4100</v>
      </c>
      <c r="E108" s="446">
        <v>4100000</v>
      </c>
    </row>
    <row r="109" spans="1:5" ht="12.9" customHeight="1">
      <c r="A109" s="1103"/>
      <c r="B109" s="444"/>
      <c r="C109" s="444" t="s">
        <v>2639</v>
      </c>
      <c r="D109" s="445">
        <f t="shared" si="1"/>
        <v>200</v>
      </c>
      <c r="E109" s="446">
        <v>200000</v>
      </c>
    </row>
    <row r="110" spans="1:5" ht="12.9" customHeight="1">
      <c r="A110" s="1103"/>
      <c r="B110" s="444" t="s">
        <v>2712</v>
      </c>
      <c r="C110" s="444" t="s">
        <v>2638</v>
      </c>
      <c r="D110" s="445">
        <f t="shared" si="1"/>
        <v>300</v>
      </c>
      <c r="E110" s="446">
        <v>300000</v>
      </c>
    </row>
    <row r="111" spans="1:5" ht="12.9" customHeight="1">
      <c r="A111" s="1103"/>
      <c r="B111" s="444" t="s">
        <v>2713</v>
      </c>
      <c r="C111" s="444" t="s">
        <v>2638</v>
      </c>
      <c r="D111" s="445">
        <f t="shared" si="1"/>
        <v>108</v>
      </c>
      <c r="E111" s="446">
        <v>108000</v>
      </c>
    </row>
    <row r="112" spans="1:5" ht="12.9" customHeight="1">
      <c r="A112" s="1103"/>
      <c r="B112" s="444" t="s">
        <v>2714</v>
      </c>
      <c r="C112" s="444" t="s">
        <v>2641</v>
      </c>
      <c r="D112" s="445">
        <f t="shared" si="1"/>
        <v>22.463999999999999</v>
      </c>
      <c r="E112" s="446">
        <v>22464</v>
      </c>
    </row>
    <row r="113" spans="1:5" ht="12.9" customHeight="1">
      <c r="A113" s="1103"/>
      <c r="B113" s="444"/>
      <c r="C113" s="444" t="s">
        <v>2638</v>
      </c>
      <c r="D113" s="445">
        <f t="shared" si="1"/>
        <v>150</v>
      </c>
      <c r="E113" s="446">
        <v>150000</v>
      </c>
    </row>
    <row r="114" spans="1:5" ht="12.9" customHeight="1">
      <c r="A114" s="1104"/>
      <c r="B114" s="444" t="s">
        <v>2715</v>
      </c>
      <c r="C114" s="444" t="s">
        <v>2638</v>
      </c>
      <c r="D114" s="445">
        <f t="shared" si="1"/>
        <v>200</v>
      </c>
      <c r="E114" s="446">
        <v>200000</v>
      </c>
    </row>
    <row r="115" spans="1:5" ht="12.9" customHeight="1">
      <c r="A115" s="1101" t="s">
        <v>2608</v>
      </c>
      <c r="B115" s="1102"/>
      <c r="C115" s="447"/>
      <c r="D115" s="448">
        <f t="shared" si="1"/>
        <v>28095.021000000001</v>
      </c>
      <c r="E115" s="446">
        <v>28095021</v>
      </c>
    </row>
    <row r="116" spans="1:5" ht="12.9" customHeight="1">
      <c r="A116" s="1093" t="s">
        <v>1994</v>
      </c>
      <c r="B116" s="444" t="s">
        <v>2716</v>
      </c>
      <c r="C116" s="444" t="s">
        <v>2641</v>
      </c>
      <c r="D116" s="445">
        <f t="shared" si="1"/>
        <v>70.751999999999995</v>
      </c>
      <c r="E116" s="446">
        <v>70752</v>
      </c>
    </row>
    <row r="117" spans="1:5" ht="12.9" customHeight="1">
      <c r="A117" s="1103"/>
      <c r="B117" s="444" t="s">
        <v>2717</v>
      </c>
      <c r="C117" s="444" t="s">
        <v>2657</v>
      </c>
      <c r="D117" s="445">
        <f t="shared" si="1"/>
        <v>100</v>
      </c>
      <c r="E117" s="446">
        <v>100000</v>
      </c>
    </row>
    <row r="118" spans="1:5" ht="12.9" customHeight="1">
      <c r="A118" s="1103"/>
      <c r="B118" s="444"/>
      <c r="C118" s="444" t="s">
        <v>2641</v>
      </c>
      <c r="D118" s="445">
        <f t="shared" si="1"/>
        <v>39.78</v>
      </c>
      <c r="E118" s="446">
        <v>39780</v>
      </c>
    </row>
    <row r="119" spans="1:5" ht="12.9" customHeight="1">
      <c r="A119" s="1103"/>
      <c r="B119" s="444"/>
      <c r="C119" s="444" t="s">
        <v>2638</v>
      </c>
      <c r="D119" s="445">
        <f t="shared" si="1"/>
        <v>200</v>
      </c>
      <c r="E119" s="446">
        <v>200000</v>
      </c>
    </row>
    <row r="120" spans="1:5" ht="12.9" customHeight="1">
      <c r="A120" s="1103"/>
      <c r="B120" s="444" t="s">
        <v>2718</v>
      </c>
      <c r="C120" s="444" t="s">
        <v>2641</v>
      </c>
      <c r="D120" s="445">
        <f t="shared" si="1"/>
        <v>6.4349999999999996</v>
      </c>
      <c r="E120" s="446">
        <v>6435</v>
      </c>
    </row>
    <row r="121" spans="1:5" ht="12.9" customHeight="1">
      <c r="A121" s="1103"/>
      <c r="B121" s="444"/>
      <c r="C121" s="444" t="s">
        <v>2665</v>
      </c>
      <c r="D121" s="445">
        <f t="shared" si="1"/>
        <v>50</v>
      </c>
      <c r="E121" s="446">
        <v>50000</v>
      </c>
    </row>
    <row r="122" spans="1:5" ht="12.9" customHeight="1">
      <c r="A122" s="1103"/>
      <c r="B122" s="444"/>
      <c r="C122" s="444" t="s">
        <v>2638</v>
      </c>
      <c r="D122" s="445">
        <f t="shared" si="1"/>
        <v>200</v>
      </c>
      <c r="E122" s="446">
        <v>200000</v>
      </c>
    </row>
    <row r="123" spans="1:5" ht="12.9" customHeight="1">
      <c r="A123" s="1103"/>
      <c r="B123" s="444" t="s">
        <v>2719</v>
      </c>
      <c r="C123" s="444" t="s">
        <v>2641</v>
      </c>
      <c r="D123" s="445">
        <f t="shared" si="1"/>
        <v>15.21</v>
      </c>
      <c r="E123" s="446">
        <v>15210</v>
      </c>
    </row>
    <row r="124" spans="1:5" ht="12.9" customHeight="1">
      <c r="A124" s="1103"/>
      <c r="B124" s="444" t="s">
        <v>2720</v>
      </c>
      <c r="C124" s="444" t="s">
        <v>2638</v>
      </c>
      <c r="D124" s="445">
        <f t="shared" si="1"/>
        <v>100</v>
      </c>
      <c r="E124" s="446">
        <v>100000</v>
      </c>
    </row>
    <row r="125" spans="1:5" ht="12.9" customHeight="1">
      <c r="A125" s="1103"/>
      <c r="B125" s="444" t="s">
        <v>2721</v>
      </c>
      <c r="C125" s="444" t="s">
        <v>2641</v>
      </c>
      <c r="D125" s="445">
        <f t="shared" si="1"/>
        <v>34.86</v>
      </c>
      <c r="E125" s="446">
        <v>34860</v>
      </c>
    </row>
    <row r="126" spans="1:5" ht="12.9" customHeight="1">
      <c r="A126" s="1103"/>
      <c r="B126" s="444"/>
      <c r="C126" s="444" t="s">
        <v>2651</v>
      </c>
      <c r="D126" s="445">
        <f t="shared" si="1"/>
        <v>10</v>
      </c>
      <c r="E126" s="446">
        <v>10000</v>
      </c>
    </row>
    <row r="127" spans="1:5" ht="12.9" customHeight="1">
      <c r="A127" s="1103"/>
      <c r="B127" s="444"/>
      <c r="C127" s="444" t="s">
        <v>2638</v>
      </c>
      <c r="D127" s="445">
        <f t="shared" si="1"/>
        <v>200</v>
      </c>
      <c r="E127" s="446">
        <v>200000</v>
      </c>
    </row>
    <row r="128" spans="1:5" ht="12.9" customHeight="1">
      <c r="A128" s="1103"/>
      <c r="B128" s="444" t="s">
        <v>2722</v>
      </c>
      <c r="C128" s="444" t="s">
        <v>2641</v>
      </c>
      <c r="D128" s="445">
        <f t="shared" si="1"/>
        <v>25</v>
      </c>
      <c r="E128" s="446">
        <v>25000</v>
      </c>
    </row>
    <row r="129" spans="1:5" ht="12.9" customHeight="1">
      <c r="A129" s="1103"/>
      <c r="B129" s="444"/>
      <c r="C129" s="444" t="s">
        <v>2638</v>
      </c>
      <c r="D129" s="445">
        <f t="shared" si="1"/>
        <v>150</v>
      </c>
      <c r="E129" s="446">
        <v>150000</v>
      </c>
    </row>
    <row r="130" spans="1:5" ht="12.9" customHeight="1">
      <c r="A130" s="1103"/>
      <c r="B130" s="444" t="s">
        <v>2723</v>
      </c>
      <c r="C130" s="444" t="s">
        <v>2641</v>
      </c>
      <c r="D130" s="445">
        <f t="shared" si="1"/>
        <v>24.53</v>
      </c>
      <c r="E130" s="446">
        <v>24530</v>
      </c>
    </row>
    <row r="131" spans="1:5" ht="12.9" customHeight="1">
      <c r="A131" s="1103"/>
      <c r="B131" s="444"/>
      <c r="C131" s="444" t="s">
        <v>2645</v>
      </c>
      <c r="D131" s="445">
        <f t="shared" si="1"/>
        <v>15</v>
      </c>
      <c r="E131" s="446">
        <v>15000</v>
      </c>
    </row>
    <row r="132" spans="1:5" ht="12.9" customHeight="1">
      <c r="A132" s="1103"/>
      <c r="B132" s="444"/>
      <c r="C132" s="444" t="s">
        <v>2638</v>
      </c>
      <c r="D132" s="445">
        <f t="shared" si="1"/>
        <v>600</v>
      </c>
      <c r="E132" s="446">
        <v>600000</v>
      </c>
    </row>
    <row r="133" spans="1:5" ht="12.9" customHeight="1">
      <c r="A133" s="1103"/>
      <c r="B133" s="444"/>
      <c r="C133" s="444" t="s">
        <v>2674</v>
      </c>
      <c r="D133" s="445">
        <f t="shared" si="1"/>
        <v>20</v>
      </c>
      <c r="E133" s="446">
        <v>20000</v>
      </c>
    </row>
    <row r="134" spans="1:5" ht="12.9" customHeight="1">
      <c r="A134" s="1103"/>
      <c r="B134" s="444"/>
      <c r="C134" s="444" t="s">
        <v>2663</v>
      </c>
      <c r="D134" s="445">
        <f t="shared" ref="D134:D197" si="2">E134/1000</f>
        <v>150</v>
      </c>
      <c r="E134" s="446">
        <v>150000</v>
      </c>
    </row>
    <row r="135" spans="1:5" ht="12.9" customHeight="1">
      <c r="A135" s="1103"/>
      <c r="B135" s="444" t="s">
        <v>2724</v>
      </c>
      <c r="C135" s="444" t="s">
        <v>2638</v>
      </c>
      <c r="D135" s="445">
        <f t="shared" si="2"/>
        <v>220</v>
      </c>
      <c r="E135" s="446">
        <v>220000</v>
      </c>
    </row>
    <row r="136" spans="1:5" ht="12.9" customHeight="1">
      <c r="A136" s="1103"/>
      <c r="B136" s="444" t="s">
        <v>2725</v>
      </c>
      <c r="C136" s="444" t="s">
        <v>2645</v>
      </c>
      <c r="D136" s="445">
        <f t="shared" si="2"/>
        <v>15</v>
      </c>
      <c r="E136" s="446">
        <v>15000</v>
      </c>
    </row>
    <row r="137" spans="1:5" ht="12.9" customHeight="1">
      <c r="A137" s="1103"/>
      <c r="B137" s="444"/>
      <c r="C137" s="444" t="s">
        <v>2639</v>
      </c>
      <c r="D137" s="445">
        <f t="shared" si="2"/>
        <v>200</v>
      </c>
      <c r="E137" s="446">
        <v>200000</v>
      </c>
    </row>
    <row r="138" spans="1:5" ht="12.9" customHeight="1">
      <c r="A138" s="1103"/>
      <c r="B138" s="444" t="s">
        <v>2726</v>
      </c>
      <c r="C138" s="444" t="s">
        <v>2641</v>
      </c>
      <c r="D138" s="445">
        <f t="shared" si="2"/>
        <v>239.14599999999999</v>
      </c>
      <c r="E138" s="446">
        <v>239146</v>
      </c>
    </row>
    <row r="139" spans="1:5" ht="12.9" customHeight="1">
      <c r="A139" s="1103"/>
      <c r="B139" s="444"/>
      <c r="C139" s="444" t="s">
        <v>2645</v>
      </c>
      <c r="D139" s="445">
        <f t="shared" si="2"/>
        <v>5</v>
      </c>
      <c r="E139" s="446">
        <v>5000</v>
      </c>
    </row>
    <row r="140" spans="1:5" ht="12.9" customHeight="1">
      <c r="A140" s="1103"/>
      <c r="B140" s="444"/>
      <c r="C140" s="444" t="s">
        <v>2638</v>
      </c>
      <c r="D140" s="445">
        <f t="shared" si="2"/>
        <v>230</v>
      </c>
      <c r="E140" s="446">
        <v>230000</v>
      </c>
    </row>
    <row r="141" spans="1:5" ht="12.9" customHeight="1">
      <c r="A141" s="1103"/>
      <c r="B141" s="444" t="s">
        <v>2727</v>
      </c>
      <c r="C141" s="444" t="s">
        <v>2641</v>
      </c>
      <c r="D141" s="445">
        <f t="shared" si="2"/>
        <v>29.41</v>
      </c>
      <c r="E141" s="446">
        <v>29410</v>
      </c>
    </row>
    <row r="142" spans="1:5" ht="12.9" customHeight="1">
      <c r="A142" s="1103"/>
      <c r="B142" s="444"/>
      <c r="C142" s="444" t="s">
        <v>2638</v>
      </c>
      <c r="D142" s="445">
        <f t="shared" si="2"/>
        <v>122</v>
      </c>
      <c r="E142" s="446">
        <v>122000</v>
      </c>
    </row>
    <row r="143" spans="1:5" ht="12.9" customHeight="1">
      <c r="A143" s="1103"/>
      <c r="B143" s="444" t="s">
        <v>2728</v>
      </c>
      <c r="C143" s="444" t="s">
        <v>2657</v>
      </c>
      <c r="D143" s="445">
        <f t="shared" si="2"/>
        <v>100</v>
      </c>
      <c r="E143" s="446">
        <v>100000</v>
      </c>
    </row>
    <row r="144" spans="1:5" ht="12.9" customHeight="1">
      <c r="A144" s="1103"/>
      <c r="B144" s="444"/>
      <c r="C144" s="444" t="s">
        <v>2641</v>
      </c>
      <c r="D144" s="445">
        <f t="shared" si="2"/>
        <v>42.125</v>
      </c>
      <c r="E144" s="446">
        <v>42125</v>
      </c>
    </row>
    <row r="145" spans="1:5" ht="12.9" customHeight="1">
      <c r="A145" s="1103"/>
      <c r="B145" s="444"/>
      <c r="C145" s="444" t="s">
        <v>2638</v>
      </c>
      <c r="D145" s="445">
        <f t="shared" si="2"/>
        <v>300</v>
      </c>
      <c r="E145" s="446">
        <v>300000</v>
      </c>
    </row>
    <row r="146" spans="1:5" ht="12.9" customHeight="1">
      <c r="A146" s="1103"/>
      <c r="B146" s="444"/>
      <c r="C146" s="444" t="s">
        <v>2654</v>
      </c>
      <c r="D146" s="445">
        <f t="shared" si="2"/>
        <v>549</v>
      </c>
      <c r="E146" s="446">
        <v>549000</v>
      </c>
    </row>
    <row r="147" spans="1:5" ht="12.9" customHeight="1">
      <c r="A147" s="1103"/>
      <c r="B147" s="444" t="s">
        <v>2729</v>
      </c>
      <c r="C147" s="444" t="s">
        <v>2641</v>
      </c>
      <c r="D147" s="445">
        <f t="shared" si="2"/>
        <v>13.95</v>
      </c>
      <c r="E147" s="446">
        <v>13950</v>
      </c>
    </row>
    <row r="148" spans="1:5" ht="12.9" customHeight="1">
      <c r="A148" s="1103"/>
      <c r="B148" s="444" t="s">
        <v>2730</v>
      </c>
      <c r="C148" s="444" t="s">
        <v>2641</v>
      </c>
      <c r="D148" s="445">
        <f t="shared" si="2"/>
        <v>16.029</v>
      </c>
      <c r="E148" s="446">
        <v>16029</v>
      </c>
    </row>
    <row r="149" spans="1:5" ht="12.9" customHeight="1">
      <c r="A149" s="1103"/>
      <c r="B149" s="444" t="s">
        <v>2731</v>
      </c>
      <c r="C149" s="444" t="s">
        <v>2641</v>
      </c>
      <c r="D149" s="445">
        <f t="shared" si="2"/>
        <v>21.1</v>
      </c>
      <c r="E149" s="446">
        <v>21100</v>
      </c>
    </row>
    <row r="150" spans="1:5" ht="12.9" customHeight="1">
      <c r="A150" s="1103"/>
      <c r="B150" s="444" t="s">
        <v>2732</v>
      </c>
      <c r="C150" s="444" t="s">
        <v>2638</v>
      </c>
      <c r="D150" s="445">
        <f t="shared" si="2"/>
        <v>190</v>
      </c>
      <c r="E150" s="446">
        <v>190000</v>
      </c>
    </row>
    <row r="151" spans="1:5" ht="12.9" customHeight="1">
      <c r="A151" s="1103"/>
      <c r="B151" s="444" t="s">
        <v>2609</v>
      </c>
      <c r="C151" s="444" t="s">
        <v>2657</v>
      </c>
      <c r="D151" s="445">
        <f t="shared" si="2"/>
        <v>39</v>
      </c>
      <c r="E151" s="446">
        <v>39000</v>
      </c>
    </row>
    <row r="152" spans="1:5" ht="12.9" customHeight="1">
      <c r="A152" s="1104"/>
      <c r="B152" s="444"/>
      <c r="C152" s="444" t="s">
        <v>2641</v>
      </c>
      <c r="D152" s="445">
        <f t="shared" si="2"/>
        <v>81.759</v>
      </c>
      <c r="E152" s="446">
        <v>81759</v>
      </c>
    </row>
    <row r="153" spans="1:5" ht="12.9" customHeight="1">
      <c r="A153" s="1093" t="s">
        <v>1994</v>
      </c>
      <c r="B153" s="444" t="s">
        <v>2609</v>
      </c>
      <c r="C153" s="444" t="s">
        <v>2643</v>
      </c>
      <c r="D153" s="445">
        <f t="shared" si="2"/>
        <v>17.8</v>
      </c>
      <c r="E153" s="446">
        <f>20000-2200</f>
        <v>17800</v>
      </c>
    </row>
    <row r="154" spans="1:5" ht="12.9" customHeight="1">
      <c r="A154" s="1103"/>
      <c r="B154" s="444"/>
      <c r="C154" s="444" t="s">
        <v>2670</v>
      </c>
      <c r="D154" s="445">
        <f t="shared" si="2"/>
        <v>5</v>
      </c>
      <c r="E154" s="446">
        <v>5000</v>
      </c>
    </row>
    <row r="155" spans="1:5" ht="12.9" customHeight="1">
      <c r="A155" s="1103"/>
      <c r="B155" s="444"/>
      <c r="C155" s="444" t="s">
        <v>2638</v>
      </c>
      <c r="D155" s="445">
        <f t="shared" si="2"/>
        <v>300</v>
      </c>
      <c r="E155" s="446">
        <v>300000</v>
      </c>
    </row>
    <row r="156" spans="1:5" ht="12.9" customHeight="1">
      <c r="A156" s="1103"/>
      <c r="B156" s="444" t="s">
        <v>2733</v>
      </c>
      <c r="C156" s="444" t="s">
        <v>2657</v>
      </c>
      <c r="D156" s="445">
        <f t="shared" si="2"/>
        <v>50</v>
      </c>
      <c r="E156" s="446">
        <v>50000</v>
      </c>
    </row>
    <row r="157" spans="1:5" ht="12.9" customHeight="1">
      <c r="A157" s="1103"/>
      <c r="B157" s="444"/>
      <c r="C157" s="444" t="s">
        <v>2641</v>
      </c>
      <c r="D157" s="445">
        <f t="shared" si="2"/>
        <v>79.015000000000001</v>
      </c>
      <c r="E157" s="446">
        <v>79015</v>
      </c>
    </row>
    <row r="158" spans="1:5" ht="12.9" customHeight="1">
      <c r="A158" s="1103"/>
      <c r="B158" s="444"/>
      <c r="C158" s="444" t="s">
        <v>2638</v>
      </c>
      <c r="D158" s="445">
        <f t="shared" si="2"/>
        <v>210</v>
      </c>
      <c r="E158" s="446">
        <v>210000</v>
      </c>
    </row>
    <row r="159" spans="1:5" ht="12.9" customHeight="1">
      <c r="A159" s="1103"/>
      <c r="B159" s="444" t="s">
        <v>2734</v>
      </c>
      <c r="C159" s="444" t="s">
        <v>2641</v>
      </c>
      <c r="D159" s="445">
        <f t="shared" si="2"/>
        <v>93.575000000000003</v>
      </c>
      <c r="E159" s="446">
        <v>93575</v>
      </c>
    </row>
    <row r="160" spans="1:5" ht="12.9" customHeight="1">
      <c r="A160" s="1103"/>
      <c r="B160" s="444"/>
      <c r="C160" s="444" t="s">
        <v>2645</v>
      </c>
      <c r="D160" s="445">
        <f t="shared" si="2"/>
        <v>30</v>
      </c>
      <c r="E160" s="446">
        <v>30000</v>
      </c>
    </row>
    <row r="161" spans="1:5" ht="12.9" customHeight="1">
      <c r="A161" s="1103"/>
      <c r="B161" s="444"/>
      <c r="C161" s="444" t="s">
        <v>2650</v>
      </c>
      <c r="D161" s="445">
        <f t="shared" si="2"/>
        <v>1000</v>
      </c>
      <c r="E161" s="446">
        <v>1000000</v>
      </c>
    </row>
    <row r="162" spans="1:5" ht="12.9" customHeight="1">
      <c r="A162" s="1103"/>
      <c r="B162" s="444"/>
      <c r="C162" s="444" t="s">
        <v>2670</v>
      </c>
      <c r="D162" s="445">
        <f t="shared" si="2"/>
        <v>9</v>
      </c>
      <c r="E162" s="446">
        <v>9000</v>
      </c>
    </row>
    <row r="163" spans="1:5" ht="12.9" customHeight="1">
      <c r="A163" s="1103"/>
      <c r="B163" s="444"/>
      <c r="C163" s="444" t="s">
        <v>2665</v>
      </c>
      <c r="D163" s="445">
        <f t="shared" si="2"/>
        <v>50</v>
      </c>
      <c r="E163" s="446">
        <v>50000</v>
      </c>
    </row>
    <row r="164" spans="1:5" ht="12.9" customHeight="1">
      <c r="A164" s="1103"/>
      <c r="B164" s="444"/>
      <c r="C164" s="444" t="s">
        <v>2652</v>
      </c>
      <c r="D164" s="445">
        <f t="shared" si="2"/>
        <v>135.5</v>
      </c>
      <c r="E164" s="446">
        <v>135500</v>
      </c>
    </row>
    <row r="165" spans="1:5" ht="12.9" customHeight="1">
      <c r="A165" s="1103"/>
      <c r="B165" s="444"/>
      <c r="C165" s="444" t="s">
        <v>2653</v>
      </c>
      <c r="D165" s="445">
        <f t="shared" si="2"/>
        <v>266</v>
      </c>
      <c r="E165" s="446">
        <v>266000</v>
      </c>
    </row>
    <row r="166" spans="1:5" ht="12.9" customHeight="1">
      <c r="A166" s="1103"/>
      <c r="B166" s="444" t="s">
        <v>2735</v>
      </c>
      <c r="C166" s="444" t="s">
        <v>2657</v>
      </c>
      <c r="D166" s="445">
        <f t="shared" si="2"/>
        <v>100</v>
      </c>
      <c r="E166" s="446">
        <v>100000</v>
      </c>
    </row>
    <row r="167" spans="1:5" ht="12.9" customHeight="1">
      <c r="A167" s="1103"/>
      <c r="B167" s="444"/>
      <c r="C167" s="444" t="s">
        <v>2641</v>
      </c>
      <c r="D167" s="445">
        <f t="shared" si="2"/>
        <v>58.98</v>
      </c>
      <c r="E167" s="446">
        <v>58980</v>
      </c>
    </row>
    <row r="168" spans="1:5" ht="12.9" customHeight="1">
      <c r="A168" s="1103"/>
      <c r="B168" s="444"/>
      <c r="C168" s="444" t="s">
        <v>2646</v>
      </c>
      <c r="D168" s="445">
        <f t="shared" si="2"/>
        <v>2000</v>
      </c>
      <c r="E168" s="446">
        <v>2000000</v>
      </c>
    </row>
    <row r="169" spans="1:5" ht="12.9" customHeight="1">
      <c r="A169" s="1103"/>
      <c r="B169" s="444"/>
      <c r="C169" s="444" t="s">
        <v>2638</v>
      </c>
      <c r="D169" s="445">
        <f t="shared" si="2"/>
        <v>180</v>
      </c>
      <c r="E169" s="446">
        <v>180000</v>
      </c>
    </row>
    <row r="170" spans="1:5" ht="12.9" customHeight="1">
      <c r="A170" s="1103"/>
      <c r="B170" s="444"/>
      <c r="C170" s="444" t="s">
        <v>2639</v>
      </c>
      <c r="D170" s="445">
        <f t="shared" si="2"/>
        <v>90</v>
      </c>
      <c r="E170" s="446">
        <v>90000</v>
      </c>
    </row>
    <row r="171" spans="1:5" ht="12.9" customHeight="1">
      <c r="A171" s="1103"/>
      <c r="B171" s="444" t="s">
        <v>2736</v>
      </c>
      <c r="C171" s="444" t="s">
        <v>2657</v>
      </c>
      <c r="D171" s="445">
        <f t="shared" si="2"/>
        <v>50</v>
      </c>
      <c r="E171" s="446">
        <v>50000</v>
      </c>
    </row>
    <row r="172" spans="1:5" ht="12.9" customHeight="1">
      <c r="A172" s="1103"/>
      <c r="B172" s="444"/>
      <c r="C172" s="444" t="s">
        <v>2641</v>
      </c>
      <c r="D172" s="445">
        <f t="shared" si="2"/>
        <v>161.536</v>
      </c>
      <c r="E172" s="446">
        <v>161536</v>
      </c>
    </row>
    <row r="173" spans="1:5" ht="12.9" customHeight="1">
      <c r="A173" s="1103"/>
      <c r="B173" s="444"/>
      <c r="C173" s="444" t="s">
        <v>2638</v>
      </c>
      <c r="D173" s="445">
        <f t="shared" si="2"/>
        <v>220</v>
      </c>
      <c r="E173" s="446">
        <v>220000</v>
      </c>
    </row>
    <row r="174" spans="1:5" ht="12.9" customHeight="1">
      <c r="A174" s="1103"/>
      <c r="B174" s="444" t="s">
        <v>2737</v>
      </c>
      <c r="C174" s="444" t="s">
        <v>2641</v>
      </c>
      <c r="D174" s="445">
        <f t="shared" si="2"/>
        <v>38.325000000000003</v>
      </c>
      <c r="E174" s="446">
        <v>38325</v>
      </c>
    </row>
    <row r="175" spans="1:5" ht="12.9" customHeight="1">
      <c r="A175" s="1103"/>
      <c r="B175" s="444"/>
      <c r="C175" s="444" t="s">
        <v>2638</v>
      </c>
      <c r="D175" s="445">
        <f t="shared" si="2"/>
        <v>220</v>
      </c>
      <c r="E175" s="446">
        <v>220000</v>
      </c>
    </row>
    <row r="176" spans="1:5" ht="12.9" customHeight="1">
      <c r="A176" s="1103"/>
      <c r="B176" s="444" t="s">
        <v>2738</v>
      </c>
      <c r="C176" s="444" t="s">
        <v>2641</v>
      </c>
      <c r="D176" s="445">
        <f t="shared" si="2"/>
        <v>6.7590000000000003</v>
      </c>
      <c r="E176" s="446">
        <v>6759</v>
      </c>
    </row>
    <row r="177" spans="1:5" ht="12.9" customHeight="1">
      <c r="A177" s="1103"/>
      <c r="B177" s="444"/>
      <c r="C177" s="444" t="s">
        <v>2638</v>
      </c>
      <c r="D177" s="445">
        <f t="shared" si="2"/>
        <v>100</v>
      </c>
      <c r="E177" s="446">
        <v>100000</v>
      </c>
    </row>
    <row r="178" spans="1:5" ht="12.9" customHeight="1">
      <c r="A178" s="1103"/>
      <c r="B178" s="444" t="s">
        <v>2739</v>
      </c>
      <c r="C178" s="444" t="s">
        <v>2641</v>
      </c>
      <c r="D178" s="445">
        <f t="shared" si="2"/>
        <v>29.934000000000001</v>
      </c>
      <c r="E178" s="446">
        <v>29934</v>
      </c>
    </row>
    <row r="179" spans="1:5" ht="12.9" customHeight="1">
      <c r="A179" s="1103"/>
      <c r="B179" s="444"/>
      <c r="C179" s="444" t="s">
        <v>2638</v>
      </c>
      <c r="D179" s="445">
        <f t="shared" si="2"/>
        <v>110</v>
      </c>
      <c r="E179" s="446">
        <v>110000</v>
      </c>
    </row>
    <row r="180" spans="1:5" ht="12.9" customHeight="1">
      <c r="A180" s="1103"/>
      <c r="B180" s="444" t="s">
        <v>2740</v>
      </c>
      <c r="C180" s="444" t="s">
        <v>2651</v>
      </c>
      <c r="D180" s="445">
        <f t="shared" si="2"/>
        <v>30</v>
      </c>
      <c r="E180" s="446">
        <v>30000</v>
      </c>
    </row>
    <row r="181" spans="1:5" ht="12.9" customHeight="1">
      <c r="A181" s="1103"/>
      <c r="B181" s="444"/>
      <c r="C181" s="444" t="s">
        <v>2665</v>
      </c>
      <c r="D181" s="445">
        <f t="shared" si="2"/>
        <v>50</v>
      </c>
      <c r="E181" s="446">
        <v>50000</v>
      </c>
    </row>
    <row r="182" spans="1:5" ht="12.9" customHeight="1">
      <c r="A182" s="1103"/>
      <c r="B182" s="444"/>
      <c r="C182" s="444" t="s">
        <v>2652</v>
      </c>
      <c r="D182" s="445">
        <f t="shared" si="2"/>
        <v>24.7</v>
      </c>
      <c r="E182" s="446">
        <v>24700</v>
      </c>
    </row>
    <row r="183" spans="1:5" ht="12.9" customHeight="1">
      <c r="A183" s="1103"/>
      <c r="B183" s="444"/>
      <c r="C183" s="444" t="s">
        <v>2638</v>
      </c>
      <c r="D183" s="445">
        <f t="shared" si="2"/>
        <v>200</v>
      </c>
      <c r="E183" s="446">
        <v>200000</v>
      </c>
    </row>
    <row r="184" spans="1:5" ht="12.9" customHeight="1">
      <c r="A184" s="1103"/>
      <c r="B184" s="444" t="s">
        <v>1994</v>
      </c>
      <c r="C184" s="444" t="s">
        <v>2657</v>
      </c>
      <c r="D184" s="445">
        <f t="shared" si="2"/>
        <v>85</v>
      </c>
      <c r="E184" s="446">
        <v>85000</v>
      </c>
    </row>
    <row r="185" spans="1:5" ht="12.9" customHeight="1">
      <c r="A185" s="1103"/>
      <c r="B185" s="444"/>
      <c r="C185" s="444" t="s">
        <v>2645</v>
      </c>
      <c r="D185" s="445">
        <f t="shared" si="2"/>
        <v>10</v>
      </c>
      <c r="E185" s="446">
        <v>10000</v>
      </c>
    </row>
    <row r="186" spans="1:5" ht="12.9" customHeight="1">
      <c r="A186" s="1103"/>
      <c r="B186" s="444"/>
      <c r="C186" s="444" t="s">
        <v>2670</v>
      </c>
      <c r="D186" s="445">
        <f t="shared" si="2"/>
        <v>20</v>
      </c>
      <c r="E186" s="446">
        <v>20000</v>
      </c>
    </row>
    <row r="187" spans="1:5" ht="12.9" customHeight="1">
      <c r="A187" s="1103"/>
      <c r="B187" s="444"/>
      <c r="C187" s="444" t="s">
        <v>2651</v>
      </c>
      <c r="D187" s="445">
        <f t="shared" si="2"/>
        <v>10</v>
      </c>
      <c r="E187" s="446">
        <v>10000</v>
      </c>
    </row>
    <row r="188" spans="1:5" ht="12.9" customHeight="1">
      <c r="A188" s="1103"/>
      <c r="B188" s="444"/>
      <c r="C188" s="444" t="s">
        <v>2652</v>
      </c>
      <c r="D188" s="445">
        <f t="shared" si="2"/>
        <v>121</v>
      </c>
      <c r="E188" s="446">
        <v>121000</v>
      </c>
    </row>
    <row r="189" spans="1:5" ht="12.9" customHeight="1">
      <c r="A189" s="1103"/>
      <c r="B189" s="444"/>
      <c r="C189" s="444" t="s">
        <v>2638</v>
      </c>
      <c r="D189" s="445">
        <f t="shared" si="2"/>
        <v>100</v>
      </c>
      <c r="E189" s="446">
        <v>100000</v>
      </c>
    </row>
    <row r="190" spans="1:5" ht="12.9" customHeight="1">
      <c r="A190" s="1104"/>
      <c r="B190" s="444"/>
      <c r="C190" s="444" t="s">
        <v>2653</v>
      </c>
      <c r="D190" s="445">
        <f t="shared" si="2"/>
        <v>720</v>
      </c>
      <c r="E190" s="446">
        <v>720000</v>
      </c>
    </row>
    <row r="191" spans="1:5" ht="12.9" customHeight="1">
      <c r="A191" s="1093" t="s">
        <v>1994</v>
      </c>
      <c r="B191" s="444" t="s">
        <v>2741</v>
      </c>
      <c r="C191" s="444" t="s">
        <v>2641</v>
      </c>
      <c r="D191" s="445">
        <f t="shared" si="2"/>
        <v>71.319999999999993</v>
      </c>
      <c r="E191" s="446">
        <v>71320</v>
      </c>
    </row>
    <row r="192" spans="1:5" ht="12.9" customHeight="1">
      <c r="A192" s="1103"/>
      <c r="B192" s="444"/>
      <c r="C192" s="444" t="s">
        <v>2638</v>
      </c>
      <c r="D192" s="445">
        <f t="shared" si="2"/>
        <v>150</v>
      </c>
      <c r="E192" s="446">
        <v>150000</v>
      </c>
    </row>
    <row r="193" spans="1:5" ht="12.9" customHeight="1">
      <c r="A193" s="1103"/>
      <c r="B193" s="444" t="s">
        <v>2742</v>
      </c>
      <c r="C193" s="444" t="s">
        <v>2657</v>
      </c>
      <c r="D193" s="445">
        <f t="shared" si="2"/>
        <v>146.65600000000001</v>
      </c>
      <c r="E193" s="446">
        <f>150000-3344</f>
        <v>146656</v>
      </c>
    </row>
    <row r="194" spans="1:5" ht="12.9" customHeight="1">
      <c r="A194" s="1103"/>
      <c r="B194" s="444"/>
      <c r="C194" s="444" t="s">
        <v>2641</v>
      </c>
      <c r="D194" s="445">
        <f t="shared" si="2"/>
        <v>67.33</v>
      </c>
      <c r="E194" s="446">
        <v>67330</v>
      </c>
    </row>
    <row r="195" spans="1:5" ht="12.9" customHeight="1">
      <c r="A195" s="1103"/>
      <c r="B195" s="444"/>
      <c r="C195" s="444" t="s">
        <v>2645</v>
      </c>
      <c r="D195" s="445">
        <f t="shared" si="2"/>
        <v>3</v>
      </c>
      <c r="E195" s="446">
        <v>3000</v>
      </c>
    </row>
    <row r="196" spans="1:5" ht="12.9" customHeight="1">
      <c r="A196" s="1103"/>
      <c r="B196" s="444"/>
      <c r="C196" s="444" t="s">
        <v>2643</v>
      </c>
      <c r="D196" s="445">
        <f t="shared" si="2"/>
        <v>40</v>
      </c>
      <c r="E196" s="446">
        <v>40000</v>
      </c>
    </row>
    <row r="197" spans="1:5" ht="12.9" customHeight="1">
      <c r="A197" s="1103"/>
      <c r="B197" s="444"/>
      <c r="C197" s="444" t="s">
        <v>2638</v>
      </c>
      <c r="D197" s="445">
        <f t="shared" si="2"/>
        <v>270</v>
      </c>
      <c r="E197" s="446">
        <v>270000</v>
      </c>
    </row>
    <row r="198" spans="1:5" ht="12.9" customHeight="1">
      <c r="A198" s="1103"/>
      <c r="B198" s="444" t="s">
        <v>2743</v>
      </c>
      <c r="C198" s="444" t="s">
        <v>2638</v>
      </c>
      <c r="D198" s="445">
        <f t="shared" ref="D198:D261" si="3">E198/1000</f>
        <v>200</v>
      </c>
      <c r="E198" s="446">
        <v>200000</v>
      </c>
    </row>
    <row r="199" spans="1:5" ht="12.9" customHeight="1">
      <c r="A199" s="1103"/>
      <c r="B199" s="444" t="s">
        <v>2744</v>
      </c>
      <c r="C199" s="444" t="s">
        <v>2638</v>
      </c>
      <c r="D199" s="445">
        <f t="shared" si="3"/>
        <v>230</v>
      </c>
      <c r="E199" s="446">
        <v>230000</v>
      </c>
    </row>
    <row r="200" spans="1:5" ht="12.9" customHeight="1">
      <c r="A200" s="1103"/>
      <c r="B200" s="444" t="s">
        <v>2745</v>
      </c>
      <c r="C200" s="444" t="s">
        <v>2638</v>
      </c>
      <c r="D200" s="445">
        <f t="shared" si="3"/>
        <v>100</v>
      </c>
      <c r="E200" s="446">
        <v>100000</v>
      </c>
    </row>
    <row r="201" spans="1:5" ht="12.9" customHeight="1">
      <c r="A201" s="1103"/>
      <c r="B201" s="444" t="s">
        <v>2746</v>
      </c>
      <c r="C201" s="444" t="s">
        <v>2657</v>
      </c>
      <c r="D201" s="445">
        <f t="shared" si="3"/>
        <v>100</v>
      </c>
      <c r="E201" s="446">
        <v>100000</v>
      </c>
    </row>
    <row r="202" spans="1:5" ht="12.9" customHeight="1">
      <c r="A202" s="1103"/>
      <c r="B202" s="444"/>
      <c r="C202" s="444" t="s">
        <v>2641</v>
      </c>
      <c r="D202" s="445">
        <f t="shared" si="3"/>
        <v>16.3</v>
      </c>
      <c r="E202" s="446">
        <v>16300</v>
      </c>
    </row>
    <row r="203" spans="1:5" ht="12.9" customHeight="1">
      <c r="A203" s="1103"/>
      <c r="B203" s="444"/>
      <c r="C203" s="444" t="s">
        <v>2638</v>
      </c>
      <c r="D203" s="445">
        <f t="shared" si="3"/>
        <v>180</v>
      </c>
      <c r="E203" s="446">
        <v>180000</v>
      </c>
    </row>
    <row r="204" spans="1:5" ht="12.9" customHeight="1">
      <c r="A204" s="1103"/>
      <c r="B204" s="444" t="s">
        <v>2747</v>
      </c>
      <c r="C204" s="444" t="s">
        <v>2641</v>
      </c>
      <c r="D204" s="445">
        <f t="shared" si="3"/>
        <v>2.5</v>
      </c>
      <c r="E204" s="446">
        <v>2500</v>
      </c>
    </row>
    <row r="205" spans="1:5" ht="12.9" customHeight="1">
      <c r="A205" s="1103"/>
      <c r="B205" s="444" t="s">
        <v>2748</v>
      </c>
      <c r="C205" s="444" t="s">
        <v>2638</v>
      </c>
      <c r="D205" s="445">
        <f t="shared" si="3"/>
        <v>240</v>
      </c>
      <c r="E205" s="446">
        <v>240000</v>
      </c>
    </row>
    <row r="206" spans="1:5" ht="12.9" customHeight="1">
      <c r="A206" s="1103"/>
      <c r="B206" s="444" t="s">
        <v>2749</v>
      </c>
      <c r="C206" s="444" t="s">
        <v>2641</v>
      </c>
      <c r="D206" s="445">
        <f t="shared" si="3"/>
        <v>51.905999999999999</v>
      </c>
      <c r="E206" s="446">
        <v>51906</v>
      </c>
    </row>
    <row r="207" spans="1:5" ht="12.9" customHeight="1">
      <c r="A207" s="1103"/>
      <c r="B207" s="444"/>
      <c r="C207" s="444" t="s">
        <v>2638</v>
      </c>
      <c r="D207" s="445">
        <f t="shared" si="3"/>
        <v>270</v>
      </c>
      <c r="E207" s="446">
        <v>270000</v>
      </c>
    </row>
    <row r="208" spans="1:5" ht="12.9" customHeight="1">
      <c r="A208" s="1103"/>
      <c r="B208" s="444" t="s">
        <v>2750</v>
      </c>
      <c r="C208" s="444" t="s">
        <v>2641</v>
      </c>
      <c r="D208" s="445">
        <f t="shared" si="3"/>
        <v>56.85</v>
      </c>
      <c r="E208" s="446">
        <v>56850</v>
      </c>
    </row>
    <row r="209" spans="1:5" ht="12.9" customHeight="1">
      <c r="A209" s="1103"/>
      <c r="B209" s="444"/>
      <c r="C209" s="444" t="s">
        <v>2638</v>
      </c>
      <c r="D209" s="445">
        <f t="shared" si="3"/>
        <v>240</v>
      </c>
      <c r="E209" s="446">
        <v>240000</v>
      </c>
    </row>
    <row r="210" spans="1:5" ht="12.9" customHeight="1">
      <c r="A210" s="1103"/>
      <c r="B210" s="444" t="s">
        <v>2751</v>
      </c>
      <c r="C210" s="444" t="s">
        <v>2645</v>
      </c>
      <c r="D210" s="445">
        <f t="shared" si="3"/>
        <v>5</v>
      </c>
      <c r="E210" s="446">
        <v>5000</v>
      </c>
    </row>
    <row r="211" spans="1:5" ht="12.9" customHeight="1">
      <c r="A211" s="1103"/>
      <c r="B211" s="444" t="s">
        <v>2610</v>
      </c>
      <c r="C211" s="444" t="s">
        <v>2650</v>
      </c>
      <c r="D211" s="445">
        <f t="shared" si="3"/>
        <v>1500</v>
      </c>
      <c r="E211" s="446">
        <v>1500000</v>
      </c>
    </row>
    <row r="212" spans="1:5" ht="12.9" customHeight="1">
      <c r="A212" s="1103"/>
      <c r="B212" s="444" t="s">
        <v>2752</v>
      </c>
      <c r="C212" s="444" t="s">
        <v>2641</v>
      </c>
      <c r="D212" s="445">
        <f t="shared" si="3"/>
        <v>165.488</v>
      </c>
      <c r="E212" s="446">
        <v>165488</v>
      </c>
    </row>
    <row r="213" spans="1:5" ht="12.9" customHeight="1">
      <c r="A213" s="1103"/>
      <c r="B213" s="444"/>
      <c r="C213" s="444" t="s">
        <v>2650</v>
      </c>
      <c r="D213" s="445">
        <f t="shared" si="3"/>
        <v>1500</v>
      </c>
      <c r="E213" s="446">
        <v>1500000</v>
      </c>
    </row>
    <row r="214" spans="1:5" ht="12.9" customHeight="1">
      <c r="A214" s="1103"/>
      <c r="B214" s="444"/>
      <c r="C214" s="444" t="s">
        <v>2646</v>
      </c>
      <c r="D214" s="445">
        <f t="shared" si="3"/>
        <v>600</v>
      </c>
      <c r="E214" s="446">
        <v>600000</v>
      </c>
    </row>
    <row r="215" spans="1:5" ht="12.9" customHeight="1">
      <c r="A215" s="1103"/>
      <c r="B215" s="444"/>
      <c r="C215" s="444" t="s">
        <v>2638</v>
      </c>
      <c r="D215" s="445">
        <f t="shared" si="3"/>
        <v>300</v>
      </c>
      <c r="E215" s="446">
        <v>300000</v>
      </c>
    </row>
    <row r="216" spans="1:5" ht="12.9" customHeight="1">
      <c r="A216" s="1103"/>
      <c r="B216" s="444"/>
      <c r="C216" s="444" t="s">
        <v>2639</v>
      </c>
      <c r="D216" s="445">
        <f t="shared" si="3"/>
        <v>200</v>
      </c>
      <c r="E216" s="446">
        <v>200000</v>
      </c>
    </row>
    <row r="217" spans="1:5" ht="12.9" customHeight="1">
      <c r="A217" s="1103"/>
      <c r="B217" s="444" t="s">
        <v>2753</v>
      </c>
      <c r="C217" s="444" t="s">
        <v>2638</v>
      </c>
      <c r="D217" s="445">
        <f t="shared" si="3"/>
        <v>200</v>
      </c>
      <c r="E217" s="446">
        <v>200000</v>
      </c>
    </row>
    <row r="218" spans="1:5" ht="12.9" customHeight="1">
      <c r="A218" s="1103"/>
      <c r="B218" s="444" t="s">
        <v>2754</v>
      </c>
      <c r="C218" s="444" t="s">
        <v>2638</v>
      </c>
      <c r="D218" s="445">
        <f t="shared" si="3"/>
        <v>100</v>
      </c>
      <c r="E218" s="446">
        <v>100000</v>
      </c>
    </row>
    <row r="219" spans="1:5" ht="12.9" customHeight="1">
      <c r="A219" s="1103"/>
      <c r="B219" s="444" t="s">
        <v>2755</v>
      </c>
      <c r="C219" s="444" t="s">
        <v>2641</v>
      </c>
      <c r="D219" s="445">
        <f t="shared" si="3"/>
        <v>27.116</v>
      </c>
      <c r="E219" s="446">
        <v>27116</v>
      </c>
    </row>
    <row r="220" spans="1:5" ht="12.9" customHeight="1">
      <c r="A220" s="1103"/>
      <c r="B220" s="444"/>
      <c r="C220" s="444" t="s">
        <v>2638</v>
      </c>
      <c r="D220" s="445">
        <f t="shared" si="3"/>
        <v>300</v>
      </c>
      <c r="E220" s="446">
        <v>300000</v>
      </c>
    </row>
    <row r="221" spans="1:5" ht="12.9" customHeight="1">
      <c r="A221" s="1103"/>
      <c r="B221" s="444" t="s">
        <v>2611</v>
      </c>
      <c r="C221" s="444" t="s">
        <v>2641</v>
      </c>
      <c r="D221" s="445">
        <f t="shared" si="3"/>
        <v>142.08000000000001</v>
      </c>
      <c r="E221" s="446">
        <v>142080</v>
      </c>
    </row>
    <row r="222" spans="1:5" ht="12.9" customHeight="1">
      <c r="A222" s="1103"/>
      <c r="B222" s="444"/>
      <c r="C222" s="444" t="s">
        <v>2651</v>
      </c>
      <c r="D222" s="445">
        <f t="shared" si="3"/>
        <v>15</v>
      </c>
      <c r="E222" s="446">
        <v>15000</v>
      </c>
    </row>
    <row r="223" spans="1:5" ht="12.9" customHeight="1">
      <c r="A223" s="1103"/>
      <c r="B223" s="444"/>
      <c r="C223" s="444" t="s">
        <v>2756</v>
      </c>
      <c r="D223" s="445">
        <f t="shared" si="3"/>
        <v>74</v>
      </c>
      <c r="E223" s="446">
        <v>74000</v>
      </c>
    </row>
    <row r="224" spans="1:5" ht="12.9" customHeight="1">
      <c r="A224" s="1103"/>
      <c r="B224" s="444"/>
      <c r="C224" s="444" t="s">
        <v>2638</v>
      </c>
      <c r="D224" s="445">
        <f t="shared" si="3"/>
        <v>200</v>
      </c>
      <c r="E224" s="446">
        <v>200000</v>
      </c>
    </row>
    <row r="225" spans="1:5" ht="12.9" customHeight="1">
      <c r="A225" s="1103"/>
      <c r="B225" s="444" t="s">
        <v>2757</v>
      </c>
      <c r="C225" s="444" t="s">
        <v>2641</v>
      </c>
      <c r="D225" s="445">
        <f t="shared" si="3"/>
        <v>18.75</v>
      </c>
      <c r="E225" s="446">
        <v>18750</v>
      </c>
    </row>
    <row r="226" spans="1:5" ht="12.9" customHeight="1">
      <c r="A226" s="1103"/>
      <c r="B226" s="444"/>
      <c r="C226" s="444" t="s">
        <v>2638</v>
      </c>
      <c r="D226" s="445">
        <f t="shared" si="3"/>
        <v>210</v>
      </c>
      <c r="E226" s="446">
        <v>210000</v>
      </c>
    </row>
    <row r="227" spans="1:5" ht="12.9" customHeight="1">
      <c r="A227" s="1103"/>
      <c r="B227" s="444" t="s">
        <v>2758</v>
      </c>
      <c r="C227" s="444" t="s">
        <v>2641</v>
      </c>
      <c r="D227" s="445">
        <f t="shared" si="3"/>
        <v>210.2</v>
      </c>
      <c r="E227" s="446">
        <v>210200</v>
      </c>
    </row>
    <row r="228" spans="1:5" ht="12.9" customHeight="1">
      <c r="A228" s="1104"/>
      <c r="B228" s="444"/>
      <c r="C228" s="444" t="s">
        <v>2638</v>
      </c>
      <c r="D228" s="445">
        <f t="shared" si="3"/>
        <v>250</v>
      </c>
      <c r="E228" s="446">
        <v>250000</v>
      </c>
    </row>
    <row r="229" spans="1:5" ht="12.9" customHeight="1">
      <c r="A229" s="1093" t="s">
        <v>1994</v>
      </c>
      <c r="B229" s="444" t="s">
        <v>2759</v>
      </c>
      <c r="C229" s="444" t="s">
        <v>2657</v>
      </c>
      <c r="D229" s="445">
        <f t="shared" si="3"/>
        <v>45</v>
      </c>
      <c r="E229" s="446">
        <v>45000</v>
      </c>
    </row>
    <row r="230" spans="1:5" ht="12.9" customHeight="1">
      <c r="A230" s="1103"/>
      <c r="B230" s="444"/>
      <c r="C230" s="444" t="s">
        <v>2641</v>
      </c>
      <c r="D230" s="445">
        <f t="shared" si="3"/>
        <v>86.275999999999996</v>
      </c>
      <c r="E230" s="446">
        <v>86276</v>
      </c>
    </row>
    <row r="231" spans="1:5" ht="12.9" customHeight="1">
      <c r="A231" s="1103"/>
      <c r="B231" s="444" t="s">
        <v>2760</v>
      </c>
      <c r="C231" s="444" t="s">
        <v>2641</v>
      </c>
      <c r="D231" s="445">
        <f t="shared" si="3"/>
        <v>349.43</v>
      </c>
      <c r="E231" s="446">
        <v>349430</v>
      </c>
    </row>
    <row r="232" spans="1:5" ht="12.9" customHeight="1">
      <c r="A232" s="1103"/>
      <c r="B232" s="444"/>
      <c r="C232" s="444" t="s">
        <v>2638</v>
      </c>
      <c r="D232" s="445">
        <f t="shared" si="3"/>
        <v>300</v>
      </c>
      <c r="E232" s="446">
        <v>300000</v>
      </c>
    </row>
    <row r="233" spans="1:5" ht="12.9" customHeight="1">
      <c r="A233" s="1103"/>
      <c r="B233" s="444" t="s">
        <v>2761</v>
      </c>
      <c r="C233" s="444" t="s">
        <v>2641</v>
      </c>
      <c r="D233" s="445">
        <f t="shared" si="3"/>
        <v>13.391999999999999</v>
      </c>
      <c r="E233" s="446">
        <v>13392</v>
      </c>
    </row>
    <row r="234" spans="1:5" ht="12.9" customHeight="1">
      <c r="A234" s="1103"/>
      <c r="B234" s="444" t="s">
        <v>2762</v>
      </c>
      <c r="C234" s="444" t="s">
        <v>2641</v>
      </c>
      <c r="D234" s="445">
        <f t="shared" si="3"/>
        <v>39.058999999999997</v>
      </c>
      <c r="E234" s="446">
        <v>39059</v>
      </c>
    </row>
    <row r="235" spans="1:5" ht="12.9" customHeight="1">
      <c r="A235" s="1103"/>
      <c r="B235" s="444"/>
      <c r="C235" s="444" t="s">
        <v>2679</v>
      </c>
      <c r="D235" s="445">
        <f t="shared" si="3"/>
        <v>45</v>
      </c>
      <c r="E235" s="446">
        <v>45000</v>
      </c>
    </row>
    <row r="236" spans="1:5" ht="12.9" customHeight="1">
      <c r="A236" s="1103"/>
      <c r="B236" s="444"/>
      <c r="C236" s="444" t="s">
        <v>2638</v>
      </c>
      <c r="D236" s="445">
        <f t="shared" si="3"/>
        <v>250</v>
      </c>
      <c r="E236" s="446">
        <v>250000</v>
      </c>
    </row>
    <row r="237" spans="1:5" ht="12.9" customHeight="1">
      <c r="A237" s="1103"/>
      <c r="B237" s="444" t="s">
        <v>2763</v>
      </c>
      <c r="C237" s="444" t="s">
        <v>2641</v>
      </c>
      <c r="D237" s="445">
        <f t="shared" si="3"/>
        <v>17.649999999999999</v>
      </c>
      <c r="E237" s="446">
        <v>17650</v>
      </c>
    </row>
    <row r="238" spans="1:5" ht="12.9" customHeight="1">
      <c r="A238" s="1103"/>
      <c r="B238" s="444"/>
      <c r="C238" s="444" t="s">
        <v>2638</v>
      </c>
      <c r="D238" s="445">
        <f t="shared" si="3"/>
        <v>460</v>
      </c>
      <c r="E238" s="446">
        <v>460000</v>
      </c>
    </row>
    <row r="239" spans="1:5" ht="12.9" customHeight="1">
      <c r="A239" s="1103"/>
      <c r="B239" s="444" t="s">
        <v>2764</v>
      </c>
      <c r="C239" s="444" t="s">
        <v>2641</v>
      </c>
      <c r="D239" s="445">
        <f t="shared" si="3"/>
        <v>19.902000000000001</v>
      </c>
      <c r="E239" s="446">
        <v>19902</v>
      </c>
    </row>
    <row r="240" spans="1:5" ht="12.9" customHeight="1">
      <c r="A240" s="1103"/>
      <c r="B240" s="444"/>
      <c r="C240" s="444" t="s">
        <v>2638</v>
      </c>
      <c r="D240" s="445">
        <f t="shared" si="3"/>
        <v>250</v>
      </c>
      <c r="E240" s="446">
        <v>250000</v>
      </c>
    </row>
    <row r="241" spans="1:5" ht="12.9" customHeight="1">
      <c r="A241" s="1103"/>
      <c r="B241" s="444" t="s">
        <v>2765</v>
      </c>
      <c r="C241" s="444" t="s">
        <v>2641</v>
      </c>
      <c r="D241" s="445">
        <f t="shared" si="3"/>
        <v>60.722000000000001</v>
      </c>
      <c r="E241" s="446">
        <v>60722</v>
      </c>
    </row>
    <row r="242" spans="1:5" ht="12.9" customHeight="1">
      <c r="A242" s="1103"/>
      <c r="B242" s="444"/>
      <c r="C242" s="444" t="s">
        <v>2638</v>
      </c>
      <c r="D242" s="445">
        <f t="shared" si="3"/>
        <v>200</v>
      </c>
      <c r="E242" s="446">
        <v>200000</v>
      </c>
    </row>
    <row r="243" spans="1:5" ht="12.9" customHeight="1">
      <c r="A243" s="1103"/>
      <c r="B243" s="444" t="s">
        <v>2766</v>
      </c>
      <c r="C243" s="444" t="s">
        <v>2651</v>
      </c>
      <c r="D243" s="445">
        <f t="shared" si="3"/>
        <v>10</v>
      </c>
      <c r="E243" s="446">
        <f>35000-25000</f>
        <v>10000</v>
      </c>
    </row>
    <row r="244" spans="1:5" ht="12.9" customHeight="1">
      <c r="A244" s="1103"/>
      <c r="B244" s="444"/>
      <c r="C244" s="444" t="s">
        <v>2638</v>
      </c>
      <c r="D244" s="445">
        <f t="shared" si="3"/>
        <v>100</v>
      </c>
      <c r="E244" s="446">
        <v>100000</v>
      </c>
    </row>
    <row r="245" spans="1:5" ht="12.9" customHeight="1">
      <c r="A245" s="1103"/>
      <c r="B245" s="444" t="s">
        <v>2767</v>
      </c>
      <c r="C245" s="444" t="s">
        <v>2641</v>
      </c>
      <c r="D245" s="445">
        <f t="shared" si="3"/>
        <v>74.816000000000003</v>
      </c>
      <c r="E245" s="446">
        <v>74816</v>
      </c>
    </row>
    <row r="246" spans="1:5" ht="12.9" customHeight="1">
      <c r="A246" s="1103"/>
      <c r="B246" s="444" t="s">
        <v>2768</v>
      </c>
      <c r="C246" s="444" t="s">
        <v>2641</v>
      </c>
      <c r="D246" s="445">
        <f t="shared" si="3"/>
        <v>225.67699999999999</v>
      </c>
      <c r="E246" s="446">
        <v>225677</v>
      </c>
    </row>
    <row r="247" spans="1:5" ht="12.9" customHeight="1">
      <c r="A247" s="1103"/>
      <c r="B247" s="444"/>
      <c r="C247" s="444" t="s">
        <v>2769</v>
      </c>
      <c r="D247" s="445">
        <f t="shared" si="3"/>
        <v>20</v>
      </c>
      <c r="E247" s="446">
        <v>20000</v>
      </c>
    </row>
    <row r="248" spans="1:5" ht="12.9" customHeight="1">
      <c r="A248" s="1103"/>
      <c r="B248" s="444"/>
      <c r="C248" s="444" t="s">
        <v>2651</v>
      </c>
      <c r="D248" s="445">
        <f t="shared" si="3"/>
        <v>35</v>
      </c>
      <c r="E248" s="446">
        <v>35000</v>
      </c>
    </row>
    <row r="249" spans="1:5" ht="12.9" customHeight="1">
      <c r="A249" s="1103"/>
      <c r="B249" s="444"/>
      <c r="C249" s="444" t="s">
        <v>2638</v>
      </c>
      <c r="D249" s="445">
        <f t="shared" si="3"/>
        <v>200</v>
      </c>
      <c r="E249" s="446">
        <v>200000</v>
      </c>
    </row>
    <row r="250" spans="1:5" ht="12.9" customHeight="1">
      <c r="A250" s="1103"/>
      <c r="B250" s="444" t="s">
        <v>2770</v>
      </c>
      <c r="C250" s="444" t="s">
        <v>2657</v>
      </c>
      <c r="D250" s="445">
        <f t="shared" si="3"/>
        <v>50</v>
      </c>
      <c r="E250" s="446">
        <v>50000</v>
      </c>
    </row>
    <row r="251" spans="1:5" ht="12.9" customHeight="1">
      <c r="A251" s="1103"/>
      <c r="B251" s="444"/>
      <c r="C251" s="444" t="s">
        <v>2649</v>
      </c>
      <c r="D251" s="445">
        <f t="shared" si="3"/>
        <v>20</v>
      </c>
      <c r="E251" s="446">
        <v>20000</v>
      </c>
    </row>
    <row r="252" spans="1:5" ht="12.9" customHeight="1">
      <c r="A252" s="1103"/>
      <c r="B252" s="444"/>
      <c r="C252" s="444" t="s">
        <v>2670</v>
      </c>
      <c r="D252" s="445">
        <f t="shared" si="3"/>
        <v>20</v>
      </c>
      <c r="E252" s="446">
        <v>20000</v>
      </c>
    </row>
    <row r="253" spans="1:5" ht="12.9" customHeight="1">
      <c r="A253" s="1103"/>
      <c r="B253" s="444"/>
      <c r="C253" s="444" t="s">
        <v>2651</v>
      </c>
      <c r="D253" s="445">
        <f t="shared" si="3"/>
        <v>20</v>
      </c>
      <c r="E253" s="446">
        <v>20000</v>
      </c>
    </row>
    <row r="254" spans="1:5" ht="12.9" customHeight="1">
      <c r="A254" s="1103"/>
      <c r="B254" s="444"/>
      <c r="C254" s="444" t="s">
        <v>2662</v>
      </c>
      <c r="D254" s="445">
        <f t="shared" si="3"/>
        <v>32.799999999999997</v>
      </c>
      <c r="E254" s="446">
        <v>32800</v>
      </c>
    </row>
    <row r="255" spans="1:5" ht="12.9" customHeight="1">
      <c r="A255" s="1103"/>
      <c r="B255" s="444"/>
      <c r="C255" s="444" t="s">
        <v>2652</v>
      </c>
      <c r="D255" s="445">
        <f t="shared" si="3"/>
        <v>137</v>
      </c>
      <c r="E255" s="446">
        <v>137000</v>
      </c>
    </row>
    <row r="256" spans="1:5" ht="12.9" customHeight="1">
      <c r="A256" s="1103"/>
      <c r="B256" s="444"/>
      <c r="C256" s="444" t="s">
        <v>2653</v>
      </c>
      <c r="D256" s="445">
        <f t="shared" si="3"/>
        <v>357</v>
      </c>
      <c r="E256" s="446">
        <v>357000</v>
      </c>
    </row>
    <row r="257" spans="1:5" ht="12.9" customHeight="1">
      <c r="A257" s="1103"/>
      <c r="B257" s="444" t="s">
        <v>2771</v>
      </c>
      <c r="C257" s="444" t="s">
        <v>2638</v>
      </c>
      <c r="D257" s="445">
        <f t="shared" si="3"/>
        <v>100</v>
      </c>
      <c r="E257" s="446">
        <v>100000</v>
      </c>
    </row>
    <row r="258" spans="1:5" ht="12.9" customHeight="1">
      <c r="A258" s="1103"/>
      <c r="B258" s="444" t="s">
        <v>2772</v>
      </c>
      <c r="C258" s="444" t="s">
        <v>2641</v>
      </c>
      <c r="D258" s="445">
        <f t="shared" si="3"/>
        <v>83.06</v>
      </c>
      <c r="E258" s="446">
        <v>83060</v>
      </c>
    </row>
    <row r="259" spans="1:5" ht="12.9" customHeight="1">
      <c r="A259" s="1103"/>
      <c r="B259" s="444"/>
      <c r="C259" s="444" t="s">
        <v>2769</v>
      </c>
      <c r="D259" s="445">
        <f t="shared" si="3"/>
        <v>20</v>
      </c>
      <c r="E259" s="446">
        <v>20000</v>
      </c>
    </row>
    <row r="260" spans="1:5" ht="12.9" customHeight="1">
      <c r="A260" s="1103"/>
      <c r="B260" s="444"/>
      <c r="C260" s="444" t="s">
        <v>2643</v>
      </c>
      <c r="D260" s="445">
        <f t="shared" si="3"/>
        <v>25</v>
      </c>
      <c r="E260" s="446">
        <v>25000</v>
      </c>
    </row>
    <row r="261" spans="1:5" ht="12.9" customHeight="1">
      <c r="A261" s="1103"/>
      <c r="B261" s="444"/>
      <c r="C261" s="444" t="s">
        <v>2652</v>
      </c>
      <c r="D261" s="445">
        <f t="shared" si="3"/>
        <v>18.5</v>
      </c>
      <c r="E261" s="446">
        <v>18500</v>
      </c>
    </row>
    <row r="262" spans="1:5" ht="12.9" customHeight="1">
      <c r="A262" s="1103"/>
      <c r="B262" s="444" t="s">
        <v>2773</v>
      </c>
      <c r="C262" s="444" t="s">
        <v>2641</v>
      </c>
      <c r="D262" s="445">
        <f t="shared" ref="D262:D325" si="4">E262/1000</f>
        <v>6.2880000000000003</v>
      </c>
      <c r="E262" s="446">
        <v>6288</v>
      </c>
    </row>
    <row r="263" spans="1:5" ht="12.9" customHeight="1">
      <c r="A263" s="1103"/>
      <c r="B263" s="444"/>
      <c r="C263" s="444" t="s">
        <v>2665</v>
      </c>
      <c r="D263" s="445">
        <f t="shared" si="4"/>
        <v>50</v>
      </c>
      <c r="E263" s="446">
        <v>50000</v>
      </c>
    </row>
    <row r="264" spans="1:5" ht="12.9" customHeight="1">
      <c r="A264" s="1103"/>
      <c r="B264" s="444" t="s">
        <v>2774</v>
      </c>
      <c r="C264" s="444" t="s">
        <v>2638</v>
      </c>
      <c r="D264" s="445">
        <f t="shared" si="4"/>
        <v>210</v>
      </c>
      <c r="E264" s="446">
        <v>210000</v>
      </c>
    </row>
    <row r="265" spans="1:5" ht="12.9" customHeight="1">
      <c r="A265" s="1103"/>
      <c r="B265" s="444" t="s">
        <v>2775</v>
      </c>
      <c r="C265" s="444" t="s">
        <v>2641</v>
      </c>
      <c r="D265" s="445">
        <f t="shared" si="4"/>
        <v>122.82</v>
      </c>
      <c r="E265" s="446">
        <v>122820</v>
      </c>
    </row>
    <row r="266" spans="1:5" ht="12.9" customHeight="1">
      <c r="A266" s="1104"/>
      <c r="B266" s="444" t="s">
        <v>2776</v>
      </c>
      <c r="C266" s="444" t="s">
        <v>2657</v>
      </c>
      <c r="D266" s="445">
        <f t="shared" si="4"/>
        <v>46.76</v>
      </c>
      <c r="E266" s="446">
        <v>46760</v>
      </c>
    </row>
    <row r="267" spans="1:5" ht="12.9" customHeight="1">
      <c r="A267" s="1093" t="s">
        <v>1994</v>
      </c>
      <c r="B267" s="444" t="s">
        <v>2776</v>
      </c>
      <c r="C267" s="444" t="s">
        <v>2641</v>
      </c>
      <c r="D267" s="445">
        <f t="shared" si="4"/>
        <v>59.844999999999999</v>
      </c>
      <c r="E267" s="446">
        <v>59845</v>
      </c>
    </row>
    <row r="268" spans="1:5" ht="12.9" customHeight="1">
      <c r="A268" s="1094"/>
      <c r="B268" s="444" t="s">
        <v>2612</v>
      </c>
      <c r="C268" s="444" t="s">
        <v>2641</v>
      </c>
      <c r="D268" s="445">
        <f t="shared" si="4"/>
        <v>23.96</v>
      </c>
      <c r="E268" s="446">
        <v>23960</v>
      </c>
    </row>
    <row r="269" spans="1:5" ht="12.9" customHeight="1">
      <c r="A269" s="1094"/>
      <c r="B269" s="444"/>
      <c r="C269" s="444" t="s">
        <v>2652</v>
      </c>
      <c r="D269" s="445">
        <f t="shared" si="4"/>
        <v>14.2</v>
      </c>
      <c r="E269" s="446">
        <v>14200</v>
      </c>
    </row>
    <row r="270" spans="1:5" ht="12.9" customHeight="1">
      <c r="A270" s="1094"/>
      <c r="B270" s="444" t="s">
        <v>2777</v>
      </c>
      <c r="C270" s="444" t="s">
        <v>2657</v>
      </c>
      <c r="D270" s="445">
        <f t="shared" si="4"/>
        <v>48</v>
      </c>
      <c r="E270" s="446">
        <v>48000</v>
      </c>
    </row>
    <row r="271" spans="1:5" ht="12.9" customHeight="1">
      <c r="A271" s="1094"/>
      <c r="B271" s="444"/>
      <c r="C271" s="444" t="s">
        <v>2643</v>
      </c>
      <c r="D271" s="445">
        <f t="shared" si="4"/>
        <v>20</v>
      </c>
      <c r="E271" s="446">
        <v>20000</v>
      </c>
    </row>
    <row r="272" spans="1:5" ht="12.9" customHeight="1">
      <c r="A272" s="1094"/>
      <c r="B272" s="444"/>
      <c r="C272" s="444" t="s">
        <v>2651</v>
      </c>
      <c r="D272" s="445">
        <f t="shared" si="4"/>
        <v>35</v>
      </c>
      <c r="E272" s="446">
        <v>35000</v>
      </c>
    </row>
    <row r="273" spans="1:5" ht="12.9" customHeight="1">
      <c r="A273" s="1094"/>
      <c r="B273" s="444"/>
      <c r="C273" s="444" t="s">
        <v>2665</v>
      </c>
      <c r="D273" s="445">
        <f t="shared" si="4"/>
        <v>50</v>
      </c>
      <c r="E273" s="446">
        <v>50000</v>
      </c>
    </row>
    <row r="274" spans="1:5" ht="12.9" customHeight="1">
      <c r="A274" s="1094"/>
      <c r="B274" s="444"/>
      <c r="C274" s="444" t="s">
        <v>2639</v>
      </c>
      <c r="D274" s="445">
        <f t="shared" si="4"/>
        <v>1450</v>
      </c>
      <c r="E274" s="446">
        <v>1450000</v>
      </c>
    </row>
    <row r="275" spans="1:5" ht="12.9" customHeight="1">
      <c r="A275" s="1094"/>
      <c r="B275" s="444" t="s">
        <v>2778</v>
      </c>
      <c r="C275" s="444" t="s">
        <v>2641</v>
      </c>
      <c r="D275" s="445">
        <f t="shared" si="4"/>
        <v>23.13</v>
      </c>
      <c r="E275" s="446">
        <v>23130</v>
      </c>
    </row>
    <row r="276" spans="1:5" ht="12.9" customHeight="1">
      <c r="A276" s="1094"/>
      <c r="B276" s="444" t="s">
        <v>2779</v>
      </c>
      <c r="C276" s="444" t="s">
        <v>2638</v>
      </c>
      <c r="D276" s="445">
        <f t="shared" si="4"/>
        <v>250</v>
      </c>
      <c r="E276" s="446">
        <v>250000</v>
      </c>
    </row>
    <row r="277" spans="1:5" ht="12.9" customHeight="1">
      <c r="A277" s="1094"/>
      <c r="B277" s="444" t="s">
        <v>2780</v>
      </c>
      <c r="C277" s="444" t="s">
        <v>2657</v>
      </c>
      <c r="D277" s="445">
        <f t="shared" si="4"/>
        <v>46</v>
      </c>
      <c r="E277" s="446">
        <v>46000</v>
      </c>
    </row>
    <row r="278" spans="1:5" ht="12.9" customHeight="1">
      <c r="A278" s="1094"/>
      <c r="B278" s="444"/>
      <c r="C278" s="444" t="s">
        <v>2641</v>
      </c>
      <c r="D278" s="445">
        <f t="shared" si="4"/>
        <v>20.292999999999999</v>
      </c>
      <c r="E278" s="446">
        <v>20293</v>
      </c>
    </row>
    <row r="279" spans="1:5" ht="12.9" customHeight="1">
      <c r="A279" s="1094"/>
      <c r="B279" s="444"/>
      <c r="C279" s="444" t="s">
        <v>2638</v>
      </c>
      <c r="D279" s="445">
        <f t="shared" si="4"/>
        <v>150</v>
      </c>
      <c r="E279" s="446">
        <v>150000</v>
      </c>
    </row>
    <row r="280" spans="1:5" ht="12.9" customHeight="1">
      <c r="A280" s="1094"/>
      <c r="B280" s="444" t="s">
        <v>2781</v>
      </c>
      <c r="C280" s="444" t="s">
        <v>2641</v>
      </c>
      <c r="D280" s="445">
        <f t="shared" si="4"/>
        <v>80.52</v>
      </c>
      <c r="E280" s="446">
        <v>80520</v>
      </c>
    </row>
    <row r="281" spans="1:5" ht="12.9" customHeight="1">
      <c r="A281" s="1094"/>
      <c r="B281" s="444"/>
      <c r="C281" s="444" t="s">
        <v>2638</v>
      </c>
      <c r="D281" s="445">
        <f t="shared" si="4"/>
        <v>230</v>
      </c>
      <c r="E281" s="446">
        <v>230000</v>
      </c>
    </row>
    <row r="282" spans="1:5" ht="12.9" customHeight="1">
      <c r="A282" s="1094"/>
      <c r="B282" s="444" t="s">
        <v>2782</v>
      </c>
      <c r="C282" s="444" t="s">
        <v>2638</v>
      </c>
      <c r="D282" s="445">
        <f t="shared" si="4"/>
        <v>150</v>
      </c>
      <c r="E282" s="446">
        <v>150000</v>
      </c>
    </row>
    <row r="283" spans="1:5" ht="12.9" customHeight="1">
      <c r="A283" s="1094"/>
      <c r="B283" s="444" t="s">
        <v>2783</v>
      </c>
      <c r="C283" s="444" t="s">
        <v>2641</v>
      </c>
      <c r="D283" s="445">
        <f t="shared" si="4"/>
        <v>31.04</v>
      </c>
      <c r="E283" s="446">
        <v>31040</v>
      </c>
    </row>
    <row r="284" spans="1:5" ht="12.9" customHeight="1">
      <c r="A284" s="1094"/>
      <c r="B284" s="444"/>
      <c r="C284" s="444" t="s">
        <v>2638</v>
      </c>
      <c r="D284" s="445">
        <f t="shared" si="4"/>
        <v>150</v>
      </c>
      <c r="E284" s="446">
        <v>150000</v>
      </c>
    </row>
    <row r="285" spans="1:5" ht="12.9" customHeight="1">
      <c r="A285" s="1095"/>
      <c r="B285" s="444" t="s">
        <v>2784</v>
      </c>
      <c r="C285" s="444" t="s">
        <v>2641</v>
      </c>
      <c r="D285" s="445">
        <f t="shared" si="4"/>
        <v>73.040000000000006</v>
      </c>
      <c r="E285" s="446">
        <v>73040</v>
      </c>
    </row>
    <row r="286" spans="1:5" ht="12.9" customHeight="1">
      <c r="A286" s="1101" t="s">
        <v>2613</v>
      </c>
      <c r="B286" s="1102"/>
      <c r="C286" s="449"/>
      <c r="D286" s="448">
        <f t="shared" si="4"/>
        <v>26886.866200000004</v>
      </c>
      <c r="E286" s="446">
        <f>26886876.1-9.9</f>
        <v>26886866.200000003</v>
      </c>
    </row>
    <row r="287" spans="1:5" ht="12.9" customHeight="1">
      <c r="A287" s="1093" t="s">
        <v>2785</v>
      </c>
      <c r="B287" s="444" t="s">
        <v>2786</v>
      </c>
      <c r="C287" s="444" t="s">
        <v>2649</v>
      </c>
      <c r="D287" s="445">
        <f t="shared" si="4"/>
        <v>20</v>
      </c>
      <c r="E287" s="446">
        <v>20000</v>
      </c>
    </row>
    <row r="288" spans="1:5" ht="12.9" customHeight="1">
      <c r="A288" s="1103"/>
      <c r="B288" s="444"/>
      <c r="C288" s="444" t="s">
        <v>2641</v>
      </c>
      <c r="D288" s="445">
        <f t="shared" si="4"/>
        <v>98.616</v>
      </c>
      <c r="E288" s="446">
        <v>98616</v>
      </c>
    </row>
    <row r="289" spans="1:5" ht="12.9" customHeight="1">
      <c r="A289" s="1103"/>
      <c r="B289" s="444"/>
      <c r="C289" s="444" t="s">
        <v>2769</v>
      </c>
      <c r="D289" s="445">
        <f t="shared" si="4"/>
        <v>25</v>
      </c>
      <c r="E289" s="446">
        <v>25000</v>
      </c>
    </row>
    <row r="290" spans="1:5" ht="12.9" customHeight="1">
      <c r="A290" s="1103"/>
      <c r="B290" s="444"/>
      <c r="C290" s="444" t="s">
        <v>2670</v>
      </c>
      <c r="D290" s="445">
        <f t="shared" si="4"/>
        <v>10</v>
      </c>
      <c r="E290" s="446">
        <v>10000</v>
      </c>
    </row>
    <row r="291" spans="1:5" ht="12.9" customHeight="1">
      <c r="A291" s="1103"/>
      <c r="B291" s="444"/>
      <c r="C291" s="444" t="s">
        <v>2787</v>
      </c>
      <c r="D291" s="445">
        <f t="shared" si="4"/>
        <v>14</v>
      </c>
      <c r="E291" s="446">
        <v>14000</v>
      </c>
    </row>
    <row r="292" spans="1:5" ht="12.9" customHeight="1">
      <c r="A292" s="1103"/>
      <c r="B292" s="444"/>
      <c r="C292" s="444" t="s">
        <v>2638</v>
      </c>
      <c r="D292" s="445">
        <f t="shared" si="4"/>
        <v>120</v>
      </c>
      <c r="E292" s="446">
        <v>120000</v>
      </c>
    </row>
    <row r="293" spans="1:5" ht="12.9" customHeight="1">
      <c r="A293" s="1103"/>
      <c r="B293" s="444"/>
      <c r="C293" s="444" t="s">
        <v>2788</v>
      </c>
      <c r="D293" s="445">
        <f t="shared" si="4"/>
        <v>10</v>
      </c>
      <c r="E293" s="446">
        <v>10000</v>
      </c>
    </row>
    <row r="294" spans="1:5" ht="12.9" customHeight="1">
      <c r="A294" s="1103"/>
      <c r="B294" s="444"/>
      <c r="C294" s="444" t="s">
        <v>2653</v>
      </c>
      <c r="D294" s="445">
        <f t="shared" si="4"/>
        <v>384</v>
      </c>
      <c r="E294" s="446">
        <v>384000</v>
      </c>
    </row>
    <row r="295" spans="1:5" ht="12.9" customHeight="1">
      <c r="A295" s="1103"/>
      <c r="B295" s="444" t="s">
        <v>2789</v>
      </c>
      <c r="C295" s="444" t="s">
        <v>2638</v>
      </c>
      <c r="D295" s="445">
        <f t="shared" si="4"/>
        <v>102</v>
      </c>
      <c r="E295" s="446">
        <v>102000</v>
      </c>
    </row>
    <row r="296" spans="1:5" ht="12.9" customHeight="1">
      <c r="A296" s="1103"/>
      <c r="B296" s="444" t="s">
        <v>2790</v>
      </c>
      <c r="C296" s="444" t="s">
        <v>2638</v>
      </c>
      <c r="D296" s="445">
        <f t="shared" si="4"/>
        <v>170</v>
      </c>
      <c r="E296" s="446">
        <v>170000</v>
      </c>
    </row>
    <row r="297" spans="1:5" ht="12.9" customHeight="1">
      <c r="A297" s="1103"/>
      <c r="B297" s="444" t="s">
        <v>2791</v>
      </c>
      <c r="C297" s="444" t="s">
        <v>2641</v>
      </c>
      <c r="D297" s="445">
        <f t="shared" si="4"/>
        <v>36</v>
      </c>
      <c r="E297" s="446">
        <v>36000</v>
      </c>
    </row>
    <row r="298" spans="1:5" ht="12.9" customHeight="1">
      <c r="A298" s="1103"/>
      <c r="B298" s="444"/>
      <c r="C298" s="444" t="s">
        <v>2638</v>
      </c>
      <c r="D298" s="445">
        <f t="shared" si="4"/>
        <v>150</v>
      </c>
      <c r="E298" s="446">
        <v>150000</v>
      </c>
    </row>
    <row r="299" spans="1:5" ht="12.9" customHeight="1">
      <c r="A299" s="1103"/>
      <c r="B299" s="444" t="s">
        <v>2792</v>
      </c>
      <c r="C299" s="444" t="s">
        <v>2641</v>
      </c>
      <c r="D299" s="445">
        <f t="shared" si="4"/>
        <v>19.187999999999999</v>
      </c>
      <c r="E299" s="446">
        <v>19188</v>
      </c>
    </row>
    <row r="300" spans="1:5" ht="12.9" customHeight="1">
      <c r="A300" s="1103"/>
      <c r="B300" s="444" t="s">
        <v>2793</v>
      </c>
      <c r="C300" s="444" t="s">
        <v>2652</v>
      </c>
      <c r="D300" s="445">
        <f t="shared" si="4"/>
        <v>33.1</v>
      </c>
      <c r="E300" s="446">
        <v>33100</v>
      </c>
    </row>
    <row r="301" spans="1:5" ht="12.9" customHeight="1">
      <c r="A301" s="1103"/>
      <c r="B301" s="444"/>
      <c r="C301" s="444" t="s">
        <v>2638</v>
      </c>
      <c r="D301" s="445">
        <f t="shared" si="4"/>
        <v>140</v>
      </c>
      <c r="E301" s="446">
        <v>140000</v>
      </c>
    </row>
    <row r="302" spans="1:5" ht="12.9" customHeight="1">
      <c r="A302" s="1103"/>
      <c r="B302" s="444" t="s">
        <v>2794</v>
      </c>
      <c r="C302" s="444" t="s">
        <v>2638</v>
      </c>
      <c r="D302" s="445">
        <f t="shared" si="4"/>
        <v>170</v>
      </c>
      <c r="E302" s="446">
        <v>170000</v>
      </c>
    </row>
    <row r="303" spans="1:5" ht="12.9" customHeight="1">
      <c r="A303" s="1103"/>
      <c r="B303" s="444" t="s">
        <v>2614</v>
      </c>
      <c r="C303" s="444" t="s">
        <v>2641</v>
      </c>
      <c r="D303" s="445">
        <f t="shared" si="4"/>
        <v>45.86</v>
      </c>
      <c r="E303" s="446">
        <v>45860</v>
      </c>
    </row>
    <row r="304" spans="1:5" ht="12.9" customHeight="1">
      <c r="A304" s="1104"/>
      <c r="B304" s="444"/>
      <c r="C304" s="444" t="s">
        <v>2650</v>
      </c>
      <c r="D304" s="445">
        <f t="shared" si="4"/>
        <v>1500</v>
      </c>
      <c r="E304" s="446">
        <v>1500000</v>
      </c>
    </row>
    <row r="305" spans="1:5" ht="12.9" customHeight="1">
      <c r="A305" s="1093" t="s">
        <v>2785</v>
      </c>
      <c r="B305" s="444" t="s">
        <v>2614</v>
      </c>
      <c r="C305" s="444" t="s">
        <v>2652</v>
      </c>
      <c r="D305" s="445">
        <f t="shared" si="4"/>
        <v>31.3</v>
      </c>
      <c r="E305" s="446">
        <v>31300</v>
      </c>
    </row>
    <row r="306" spans="1:5" ht="12.9" customHeight="1">
      <c r="A306" s="1094"/>
      <c r="B306" s="444"/>
      <c r="C306" s="444" t="s">
        <v>2638</v>
      </c>
      <c r="D306" s="445">
        <f t="shared" si="4"/>
        <v>250</v>
      </c>
      <c r="E306" s="446">
        <v>250000</v>
      </c>
    </row>
    <row r="307" spans="1:5" ht="12.9" customHeight="1">
      <c r="A307" s="1094"/>
      <c r="B307" s="444"/>
      <c r="C307" s="444" t="s">
        <v>2663</v>
      </c>
      <c r="D307" s="445">
        <f t="shared" si="4"/>
        <v>325</v>
      </c>
      <c r="E307" s="446">
        <v>325000</v>
      </c>
    </row>
    <row r="308" spans="1:5" ht="12.9" customHeight="1">
      <c r="A308" s="1094"/>
      <c r="B308" s="444" t="s">
        <v>2795</v>
      </c>
      <c r="C308" s="444" t="s">
        <v>2641</v>
      </c>
      <c r="D308" s="445">
        <f t="shared" si="4"/>
        <v>111.84</v>
      </c>
      <c r="E308" s="446">
        <v>111840</v>
      </c>
    </row>
    <row r="309" spans="1:5" ht="12.9" customHeight="1">
      <c r="A309" s="1094"/>
      <c r="B309" s="444"/>
      <c r="C309" s="444" t="s">
        <v>2662</v>
      </c>
      <c r="D309" s="445">
        <f t="shared" si="4"/>
        <v>11.1</v>
      </c>
      <c r="E309" s="446">
        <v>11100</v>
      </c>
    </row>
    <row r="310" spans="1:5" ht="12.9" customHeight="1">
      <c r="A310" s="1094"/>
      <c r="B310" s="444"/>
      <c r="C310" s="444" t="s">
        <v>2646</v>
      </c>
      <c r="D310" s="445">
        <f t="shared" si="4"/>
        <v>1000</v>
      </c>
      <c r="E310" s="446">
        <v>1000000</v>
      </c>
    </row>
    <row r="311" spans="1:5" ht="12.9" customHeight="1">
      <c r="A311" s="1094"/>
      <c r="B311" s="444" t="s">
        <v>2796</v>
      </c>
      <c r="C311" s="444" t="s">
        <v>2641</v>
      </c>
      <c r="D311" s="445">
        <f t="shared" si="4"/>
        <v>296.74599999999998</v>
      </c>
      <c r="E311" s="446">
        <v>296746</v>
      </c>
    </row>
    <row r="312" spans="1:5" ht="12.9" customHeight="1">
      <c r="A312" s="1094"/>
      <c r="B312" s="444"/>
      <c r="C312" s="444" t="s">
        <v>2797</v>
      </c>
      <c r="D312" s="445">
        <f t="shared" si="4"/>
        <v>50</v>
      </c>
      <c r="E312" s="446">
        <v>50000</v>
      </c>
    </row>
    <row r="313" spans="1:5" ht="12.9" customHeight="1">
      <c r="A313" s="1094"/>
      <c r="B313" s="444"/>
      <c r="C313" s="444" t="s">
        <v>2679</v>
      </c>
      <c r="D313" s="445">
        <f t="shared" si="4"/>
        <v>250</v>
      </c>
      <c r="E313" s="446">
        <v>250000</v>
      </c>
    </row>
    <row r="314" spans="1:5" ht="12.9" customHeight="1">
      <c r="A314" s="1094"/>
      <c r="B314" s="444"/>
      <c r="C314" s="444" t="s">
        <v>2651</v>
      </c>
      <c r="D314" s="445">
        <f t="shared" si="4"/>
        <v>20</v>
      </c>
      <c r="E314" s="446">
        <v>20000</v>
      </c>
    </row>
    <row r="315" spans="1:5" ht="12.9" customHeight="1">
      <c r="A315" s="1094"/>
      <c r="B315" s="444"/>
      <c r="C315" s="444" t="s">
        <v>2662</v>
      </c>
      <c r="D315" s="445">
        <f t="shared" si="4"/>
        <v>15</v>
      </c>
      <c r="E315" s="446">
        <v>15000</v>
      </c>
    </row>
    <row r="316" spans="1:5" ht="12.9" customHeight="1">
      <c r="A316" s="1094"/>
      <c r="B316" s="444"/>
      <c r="C316" s="444" t="s">
        <v>2665</v>
      </c>
      <c r="D316" s="445">
        <f t="shared" si="4"/>
        <v>50</v>
      </c>
      <c r="E316" s="446">
        <v>50000</v>
      </c>
    </row>
    <row r="317" spans="1:5" ht="12.9" customHeight="1">
      <c r="A317" s="1094"/>
      <c r="B317" s="444"/>
      <c r="C317" s="444" t="s">
        <v>2652</v>
      </c>
      <c r="D317" s="445">
        <f t="shared" si="4"/>
        <v>151.30000000000001</v>
      </c>
      <c r="E317" s="446">
        <v>151300</v>
      </c>
    </row>
    <row r="318" spans="1:5" ht="12.9" customHeight="1">
      <c r="A318" s="1094"/>
      <c r="B318" s="444"/>
      <c r="C318" s="444" t="s">
        <v>2646</v>
      </c>
      <c r="D318" s="445">
        <f t="shared" si="4"/>
        <v>1700</v>
      </c>
      <c r="E318" s="446">
        <v>1700000</v>
      </c>
    </row>
    <row r="319" spans="1:5" ht="12.9" customHeight="1">
      <c r="A319" s="1094"/>
      <c r="B319" s="444"/>
      <c r="C319" s="444" t="s">
        <v>2638</v>
      </c>
      <c r="D319" s="445">
        <f t="shared" si="4"/>
        <v>290</v>
      </c>
      <c r="E319" s="446">
        <v>290000</v>
      </c>
    </row>
    <row r="320" spans="1:5" ht="12.9" customHeight="1">
      <c r="A320" s="1094"/>
      <c r="B320" s="444"/>
      <c r="C320" s="444" t="s">
        <v>2639</v>
      </c>
      <c r="D320" s="445">
        <f t="shared" si="4"/>
        <v>500</v>
      </c>
      <c r="E320" s="446">
        <v>500000</v>
      </c>
    </row>
    <row r="321" spans="1:5" ht="12.9" customHeight="1">
      <c r="A321" s="1094"/>
      <c r="B321" s="444"/>
      <c r="C321" s="444" t="s">
        <v>2653</v>
      </c>
      <c r="D321" s="445">
        <f t="shared" si="4"/>
        <v>344</v>
      </c>
      <c r="E321" s="446">
        <v>344000</v>
      </c>
    </row>
    <row r="322" spans="1:5" ht="12.9" customHeight="1">
      <c r="A322" s="1094"/>
      <c r="B322" s="444" t="s">
        <v>2798</v>
      </c>
      <c r="C322" s="444" t="s">
        <v>2657</v>
      </c>
      <c r="D322" s="445">
        <f t="shared" si="4"/>
        <v>100</v>
      </c>
      <c r="E322" s="446">
        <v>100000</v>
      </c>
    </row>
    <row r="323" spans="1:5" ht="12.9" customHeight="1">
      <c r="A323" s="1094"/>
      <c r="B323" s="444"/>
      <c r="C323" s="444" t="s">
        <v>2638</v>
      </c>
      <c r="D323" s="445">
        <f t="shared" si="4"/>
        <v>130</v>
      </c>
      <c r="E323" s="446">
        <v>130000</v>
      </c>
    </row>
    <row r="324" spans="1:5" ht="12.9" customHeight="1">
      <c r="A324" s="1094"/>
      <c r="B324" s="444"/>
      <c r="C324" s="444" t="s">
        <v>2674</v>
      </c>
      <c r="D324" s="445">
        <f t="shared" si="4"/>
        <v>20</v>
      </c>
      <c r="E324" s="446">
        <v>20000</v>
      </c>
    </row>
    <row r="325" spans="1:5" ht="12.9" customHeight="1">
      <c r="A325" s="1094"/>
      <c r="B325" s="444" t="s">
        <v>2799</v>
      </c>
      <c r="C325" s="444" t="s">
        <v>2641</v>
      </c>
      <c r="D325" s="445">
        <f t="shared" si="4"/>
        <v>11</v>
      </c>
      <c r="E325" s="446">
        <v>11000</v>
      </c>
    </row>
    <row r="326" spans="1:5" ht="12.9" customHeight="1">
      <c r="A326" s="1094"/>
      <c r="B326" s="444"/>
      <c r="C326" s="444" t="s">
        <v>2638</v>
      </c>
      <c r="D326" s="445">
        <f t="shared" ref="D326:D389" si="5">E326/1000</f>
        <v>230</v>
      </c>
      <c r="E326" s="446">
        <v>230000</v>
      </c>
    </row>
    <row r="327" spans="1:5" ht="12.9" customHeight="1">
      <c r="A327" s="1094"/>
      <c r="B327" s="444" t="s">
        <v>2800</v>
      </c>
      <c r="C327" s="444" t="s">
        <v>2641</v>
      </c>
      <c r="D327" s="445">
        <f t="shared" si="5"/>
        <v>9.8279999999999994</v>
      </c>
      <c r="E327" s="446">
        <v>9828</v>
      </c>
    </row>
    <row r="328" spans="1:5" ht="12.9" customHeight="1">
      <c r="A328" s="1094"/>
      <c r="B328" s="444"/>
      <c r="C328" s="444" t="s">
        <v>2638</v>
      </c>
      <c r="D328" s="445">
        <f t="shared" si="5"/>
        <v>120</v>
      </c>
      <c r="E328" s="446">
        <v>120000</v>
      </c>
    </row>
    <row r="329" spans="1:5" ht="12.9" customHeight="1">
      <c r="A329" s="1094"/>
      <c r="B329" s="444" t="s">
        <v>2801</v>
      </c>
      <c r="C329" s="444" t="s">
        <v>2641</v>
      </c>
      <c r="D329" s="445">
        <f t="shared" si="5"/>
        <v>38</v>
      </c>
      <c r="E329" s="446">
        <v>38000</v>
      </c>
    </row>
    <row r="330" spans="1:5" ht="12.9" customHeight="1">
      <c r="A330" s="1094"/>
      <c r="B330" s="444"/>
      <c r="C330" s="444" t="s">
        <v>2638</v>
      </c>
      <c r="D330" s="445">
        <f t="shared" si="5"/>
        <v>160</v>
      </c>
      <c r="E330" s="446">
        <v>160000</v>
      </c>
    </row>
    <row r="331" spans="1:5" ht="12.9" customHeight="1">
      <c r="A331" s="1094"/>
      <c r="B331" s="444" t="s">
        <v>2667</v>
      </c>
      <c r="C331" s="444" t="s">
        <v>2641</v>
      </c>
      <c r="D331" s="445">
        <f t="shared" si="5"/>
        <v>27.425999999999998</v>
      </c>
      <c r="E331" s="446">
        <v>27426</v>
      </c>
    </row>
    <row r="332" spans="1:5" ht="12.9" customHeight="1">
      <c r="A332" s="1094"/>
      <c r="B332" s="444"/>
      <c r="C332" s="444" t="s">
        <v>2645</v>
      </c>
      <c r="D332" s="445">
        <f t="shared" si="5"/>
        <v>10</v>
      </c>
      <c r="E332" s="446">
        <v>10000</v>
      </c>
    </row>
    <row r="333" spans="1:5" ht="12.9" customHeight="1">
      <c r="A333" s="1094"/>
      <c r="B333" s="444"/>
      <c r="C333" s="444" t="s">
        <v>2638</v>
      </c>
      <c r="D333" s="445">
        <f t="shared" si="5"/>
        <v>150</v>
      </c>
      <c r="E333" s="446">
        <v>150000</v>
      </c>
    </row>
    <row r="334" spans="1:5" ht="12.9" customHeight="1">
      <c r="A334" s="1094"/>
      <c r="B334" s="444" t="s">
        <v>2802</v>
      </c>
      <c r="C334" s="444" t="s">
        <v>2638</v>
      </c>
      <c r="D334" s="445">
        <f t="shared" si="5"/>
        <v>150</v>
      </c>
      <c r="E334" s="446">
        <v>150000</v>
      </c>
    </row>
    <row r="335" spans="1:5" ht="12.9" customHeight="1">
      <c r="A335" s="1094"/>
      <c r="B335" s="444" t="s">
        <v>2615</v>
      </c>
      <c r="C335" s="444" t="s">
        <v>2641</v>
      </c>
      <c r="D335" s="445">
        <f t="shared" si="5"/>
        <v>185.18899999999999</v>
      </c>
      <c r="E335" s="446">
        <v>185189</v>
      </c>
    </row>
    <row r="336" spans="1:5" ht="12.9" customHeight="1">
      <c r="A336" s="1094"/>
      <c r="B336" s="444"/>
      <c r="C336" s="444" t="s">
        <v>2769</v>
      </c>
      <c r="D336" s="445">
        <f t="shared" si="5"/>
        <v>30</v>
      </c>
      <c r="E336" s="446">
        <v>30000</v>
      </c>
    </row>
    <row r="337" spans="1:5" ht="12.9" customHeight="1">
      <c r="A337" s="1094"/>
      <c r="B337" s="444"/>
      <c r="C337" s="444" t="s">
        <v>2643</v>
      </c>
      <c r="D337" s="445">
        <f t="shared" si="5"/>
        <v>23</v>
      </c>
      <c r="E337" s="446">
        <v>23000</v>
      </c>
    </row>
    <row r="338" spans="1:5" ht="12.9" customHeight="1">
      <c r="A338" s="1094"/>
      <c r="B338" s="444"/>
      <c r="C338" s="444" t="s">
        <v>2803</v>
      </c>
      <c r="D338" s="445">
        <f t="shared" si="5"/>
        <v>9</v>
      </c>
      <c r="E338" s="446">
        <v>9000</v>
      </c>
    </row>
    <row r="339" spans="1:5" ht="12.9" customHeight="1">
      <c r="A339" s="1094"/>
      <c r="B339" s="444"/>
      <c r="C339" s="444" t="s">
        <v>2652</v>
      </c>
      <c r="D339" s="445">
        <f t="shared" si="5"/>
        <v>37</v>
      </c>
      <c r="E339" s="446">
        <v>37000</v>
      </c>
    </row>
    <row r="340" spans="1:5" ht="12.9" customHeight="1">
      <c r="A340" s="1094"/>
      <c r="B340" s="444"/>
      <c r="C340" s="444" t="s">
        <v>2638</v>
      </c>
      <c r="D340" s="445">
        <f t="shared" si="5"/>
        <v>175</v>
      </c>
      <c r="E340" s="446">
        <v>175000</v>
      </c>
    </row>
    <row r="341" spans="1:5" ht="12.9" customHeight="1">
      <c r="A341" s="1094"/>
      <c r="B341" s="444"/>
      <c r="C341" s="444" t="s">
        <v>2674</v>
      </c>
      <c r="D341" s="445">
        <f t="shared" si="5"/>
        <v>40</v>
      </c>
      <c r="E341" s="446">
        <v>40000</v>
      </c>
    </row>
    <row r="342" spans="1:5" ht="12.9" customHeight="1">
      <c r="A342" s="1095"/>
      <c r="B342" s="444" t="s">
        <v>2804</v>
      </c>
      <c r="C342" s="444" t="s">
        <v>2638</v>
      </c>
      <c r="D342" s="445">
        <f t="shared" si="5"/>
        <v>250</v>
      </c>
      <c r="E342" s="446">
        <v>250000</v>
      </c>
    </row>
    <row r="343" spans="1:5" ht="12.9" customHeight="1">
      <c r="A343" s="1093" t="s">
        <v>2785</v>
      </c>
      <c r="B343" s="444" t="s">
        <v>2805</v>
      </c>
      <c r="C343" s="444" t="s">
        <v>2641</v>
      </c>
      <c r="D343" s="445">
        <f t="shared" si="5"/>
        <v>2.75</v>
      </c>
      <c r="E343" s="446">
        <v>2750</v>
      </c>
    </row>
    <row r="344" spans="1:5" ht="12.9" customHeight="1">
      <c r="A344" s="1103"/>
      <c r="B344" s="444" t="s">
        <v>2806</v>
      </c>
      <c r="C344" s="444" t="s">
        <v>2641</v>
      </c>
      <c r="D344" s="445">
        <f t="shared" si="5"/>
        <v>6.4349999999999996</v>
      </c>
      <c r="E344" s="446">
        <v>6435</v>
      </c>
    </row>
    <row r="345" spans="1:5" ht="12.9" customHeight="1">
      <c r="A345" s="1103"/>
      <c r="B345" s="444" t="s">
        <v>2807</v>
      </c>
      <c r="C345" s="444" t="s">
        <v>2641</v>
      </c>
      <c r="D345" s="445">
        <f t="shared" si="5"/>
        <v>19.071000000000002</v>
      </c>
      <c r="E345" s="446">
        <v>19071</v>
      </c>
    </row>
    <row r="346" spans="1:5" ht="12.9" customHeight="1">
      <c r="A346" s="1103"/>
      <c r="B346" s="444"/>
      <c r="C346" s="444" t="s">
        <v>2638</v>
      </c>
      <c r="D346" s="445">
        <f t="shared" si="5"/>
        <v>100</v>
      </c>
      <c r="E346" s="446">
        <v>100000</v>
      </c>
    </row>
    <row r="347" spans="1:5" ht="12.9" customHeight="1">
      <c r="A347" s="1103"/>
      <c r="B347" s="444" t="s">
        <v>2808</v>
      </c>
      <c r="C347" s="444" t="s">
        <v>2638</v>
      </c>
      <c r="D347" s="445">
        <f t="shared" si="5"/>
        <v>300</v>
      </c>
      <c r="E347" s="446">
        <v>300000</v>
      </c>
    </row>
    <row r="348" spans="1:5" ht="12.9" customHeight="1">
      <c r="A348" s="1103"/>
      <c r="B348" s="444" t="s">
        <v>2809</v>
      </c>
      <c r="C348" s="444" t="s">
        <v>2638</v>
      </c>
      <c r="D348" s="445">
        <f t="shared" si="5"/>
        <v>120</v>
      </c>
      <c r="E348" s="446">
        <v>120000</v>
      </c>
    </row>
    <row r="349" spans="1:5" ht="12.9" customHeight="1">
      <c r="A349" s="1103"/>
      <c r="B349" s="444" t="s">
        <v>2810</v>
      </c>
      <c r="C349" s="444" t="s">
        <v>2657</v>
      </c>
      <c r="D349" s="445">
        <f t="shared" si="5"/>
        <v>75</v>
      </c>
      <c r="E349" s="446">
        <v>75000</v>
      </c>
    </row>
    <row r="350" spans="1:5" ht="12.9" customHeight="1">
      <c r="A350" s="1103"/>
      <c r="B350" s="444" t="s">
        <v>2811</v>
      </c>
      <c r="C350" s="444" t="s">
        <v>2641</v>
      </c>
      <c r="D350" s="445">
        <f t="shared" si="5"/>
        <v>20.616</v>
      </c>
      <c r="E350" s="446">
        <v>20616</v>
      </c>
    </row>
    <row r="351" spans="1:5" ht="12.9" customHeight="1">
      <c r="A351" s="1103"/>
      <c r="B351" s="444"/>
      <c r="C351" s="444" t="s">
        <v>2646</v>
      </c>
      <c r="D351" s="445">
        <f t="shared" si="5"/>
        <v>284.69099999999997</v>
      </c>
      <c r="E351" s="446">
        <f>360000-75309</f>
        <v>284691</v>
      </c>
    </row>
    <row r="352" spans="1:5" ht="12.9" customHeight="1">
      <c r="A352" s="1103"/>
      <c r="B352" s="444"/>
      <c r="C352" s="444" t="s">
        <v>2638</v>
      </c>
      <c r="D352" s="445">
        <f t="shared" si="5"/>
        <v>240</v>
      </c>
      <c r="E352" s="446">
        <v>240000</v>
      </c>
    </row>
    <row r="353" spans="1:5" ht="12.9" customHeight="1">
      <c r="A353" s="1103"/>
      <c r="B353" s="444" t="s">
        <v>2812</v>
      </c>
      <c r="C353" s="444" t="s">
        <v>2657</v>
      </c>
      <c r="D353" s="445">
        <f t="shared" si="5"/>
        <v>80</v>
      </c>
      <c r="E353" s="446">
        <v>80000</v>
      </c>
    </row>
    <row r="354" spans="1:5" ht="12.9" customHeight="1">
      <c r="A354" s="1103"/>
      <c r="B354" s="444"/>
      <c r="C354" s="444" t="s">
        <v>2641</v>
      </c>
      <c r="D354" s="445">
        <f t="shared" si="5"/>
        <v>78.156000000000006</v>
      </c>
      <c r="E354" s="446">
        <v>78156</v>
      </c>
    </row>
    <row r="355" spans="1:5" ht="12.9" customHeight="1">
      <c r="A355" s="1103"/>
      <c r="B355" s="444"/>
      <c r="C355" s="444" t="s">
        <v>2646</v>
      </c>
      <c r="D355" s="445">
        <f t="shared" si="5"/>
        <v>500</v>
      </c>
      <c r="E355" s="446">
        <v>500000</v>
      </c>
    </row>
    <row r="356" spans="1:5" ht="12.9" customHeight="1">
      <c r="A356" s="1103"/>
      <c r="B356" s="444"/>
      <c r="C356" s="444" t="s">
        <v>2638</v>
      </c>
      <c r="D356" s="445">
        <f t="shared" si="5"/>
        <v>120</v>
      </c>
      <c r="E356" s="446">
        <v>120000</v>
      </c>
    </row>
    <row r="357" spans="1:5" ht="12.9" customHeight="1">
      <c r="A357" s="1103"/>
      <c r="B357" s="444" t="s">
        <v>2813</v>
      </c>
      <c r="C357" s="444" t="s">
        <v>2641</v>
      </c>
      <c r="D357" s="445">
        <f t="shared" si="5"/>
        <v>19.37</v>
      </c>
      <c r="E357" s="446">
        <v>19370</v>
      </c>
    </row>
    <row r="358" spans="1:5" ht="12.9" customHeight="1">
      <c r="A358" s="1103"/>
      <c r="B358" s="444"/>
      <c r="C358" s="444" t="s">
        <v>2638</v>
      </c>
      <c r="D358" s="445">
        <f t="shared" si="5"/>
        <v>240</v>
      </c>
      <c r="E358" s="446">
        <v>240000</v>
      </c>
    </row>
    <row r="359" spans="1:5" ht="12.9" customHeight="1">
      <c r="A359" s="1103"/>
      <c r="B359" s="444" t="s">
        <v>2814</v>
      </c>
      <c r="C359" s="444" t="s">
        <v>2641</v>
      </c>
      <c r="D359" s="445">
        <f t="shared" si="5"/>
        <v>133.86000000000001</v>
      </c>
      <c r="E359" s="446">
        <v>133860</v>
      </c>
    </row>
    <row r="360" spans="1:5" ht="12.9" customHeight="1">
      <c r="A360" s="1103"/>
      <c r="B360" s="444"/>
      <c r="C360" s="444" t="s">
        <v>2646</v>
      </c>
      <c r="D360" s="445">
        <f t="shared" si="5"/>
        <v>90</v>
      </c>
      <c r="E360" s="446">
        <v>90000</v>
      </c>
    </row>
    <row r="361" spans="1:5" ht="12.9" customHeight="1">
      <c r="A361" s="1103"/>
      <c r="B361" s="444" t="s">
        <v>2815</v>
      </c>
      <c r="C361" s="444" t="s">
        <v>2638</v>
      </c>
      <c r="D361" s="445">
        <f t="shared" si="5"/>
        <v>160</v>
      </c>
      <c r="E361" s="446">
        <v>160000</v>
      </c>
    </row>
    <row r="362" spans="1:5" ht="12.9" customHeight="1">
      <c r="A362" s="1103"/>
      <c r="B362" s="444" t="s">
        <v>2816</v>
      </c>
      <c r="C362" s="444" t="s">
        <v>2657</v>
      </c>
      <c r="D362" s="445">
        <f t="shared" si="5"/>
        <v>27</v>
      </c>
      <c r="E362" s="446">
        <v>27000</v>
      </c>
    </row>
    <row r="363" spans="1:5" ht="12.9" customHeight="1">
      <c r="A363" s="1103"/>
      <c r="B363" s="444"/>
      <c r="C363" s="444" t="s">
        <v>2638</v>
      </c>
      <c r="D363" s="445">
        <f t="shared" si="5"/>
        <v>180</v>
      </c>
      <c r="E363" s="446">
        <v>180000</v>
      </c>
    </row>
    <row r="364" spans="1:5" ht="12.9" customHeight="1">
      <c r="A364" s="1103"/>
      <c r="B364" s="444"/>
      <c r="C364" s="444" t="s">
        <v>2639</v>
      </c>
      <c r="D364" s="445">
        <f t="shared" si="5"/>
        <v>480</v>
      </c>
      <c r="E364" s="446">
        <v>480000</v>
      </c>
    </row>
    <row r="365" spans="1:5" ht="12.9" customHeight="1">
      <c r="A365" s="1103"/>
      <c r="B365" s="444" t="s">
        <v>2817</v>
      </c>
      <c r="C365" s="444" t="s">
        <v>2641</v>
      </c>
      <c r="D365" s="445">
        <f t="shared" si="5"/>
        <v>138.09100000000001</v>
      </c>
      <c r="E365" s="446">
        <v>138091</v>
      </c>
    </row>
    <row r="366" spans="1:5" ht="12.9" customHeight="1">
      <c r="A366" s="1103"/>
      <c r="B366" s="444"/>
      <c r="C366" s="444" t="s">
        <v>2638</v>
      </c>
      <c r="D366" s="445">
        <f t="shared" si="5"/>
        <v>180</v>
      </c>
      <c r="E366" s="446">
        <v>180000</v>
      </c>
    </row>
    <row r="367" spans="1:5" ht="12.9" customHeight="1">
      <c r="A367" s="1103"/>
      <c r="B367" s="444" t="s">
        <v>2818</v>
      </c>
      <c r="C367" s="444" t="s">
        <v>2641</v>
      </c>
      <c r="D367" s="445">
        <f t="shared" si="5"/>
        <v>64.116</v>
      </c>
      <c r="E367" s="446">
        <v>64116</v>
      </c>
    </row>
    <row r="368" spans="1:5" ht="12.9" customHeight="1">
      <c r="A368" s="1103"/>
      <c r="B368" s="444"/>
      <c r="C368" s="444" t="s">
        <v>2651</v>
      </c>
      <c r="D368" s="445">
        <f t="shared" si="5"/>
        <v>20</v>
      </c>
      <c r="E368" s="446">
        <v>20000</v>
      </c>
    </row>
    <row r="369" spans="1:5" ht="12.9" customHeight="1">
      <c r="A369" s="1103"/>
      <c r="B369" s="444"/>
      <c r="C369" s="444" t="s">
        <v>2653</v>
      </c>
      <c r="D369" s="445">
        <f t="shared" si="5"/>
        <v>373</v>
      </c>
      <c r="E369" s="446">
        <v>373000</v>
      </c>
    </row>
    <row r="370" spans="1:5" ht="12.9" customHeight="1">
      <c r="A370" s="1103"/>
      <c r="B370" s="444" t="s">
        <v>2819</v>
      </c>
      <c r="C370" s="444" t="s">
        <v>2641</v>
      </c>
      <c r="D370" s="445">
        <f t="shared" si="5"/>
        <v>16.68</v>
      </c>
      <c r="E370" s="446">
        <v>16680</v>
      </c>
    </row>
    <row r="371" spans="1:5" ht="12.9" customHeight="1">
      <c r="A371" s="1103"/>
      <c r="B371" s="444" t="s">
        <v>2820</v>
      </c>
      <c r="C371" s="444" t="s">
        <v>2641</v>
      </c>
      <c r="D371" s="445">
        <f t="shared" si="5"/>
        <v>37.540999999999997</v>
      </c>
      <c r="E371" s="446">
        <v>37541</v>
      </c>
    </row>
    <row r="372" spans="1:5" ht="12.9" customHeight="1">
      <c r="A372" s="1103"/>
      <c r="B372" s="444" t="s">
        <v>2821</v>
      </c>
      <c r="C372" s="444" t="s">
        <v>2646</v>
      </c>
      <c r="D372" s="445">
        <f t="shared" si="5"/>
        <v>100</v>
      </c>
      <c r="E372" s="446">
        <v>100000</v>
      </c>
    </row>
    <row r="373" spans="1:5" ht="12.9" customHeight="1">
      <c r="A373" s="1103"/>
      <c r="B373" s="444" t="s">
        <v>2822</v>
      </c>
      <c r="C373" s="444" t="s">
        <v>2638</v>
      </c>
      <c r="D373" s="445">
        <f t="shared" si="5"/>
        <v>150</v>
      </c>
      <c r="E373" s="446">
        <v>150000</v>
      </c>
    </row>
    <row r="374" spans="1:5" ht="12.9" customHeight="1">
      <c r="A374" s="1103"/>
      <c r="B374" s="444" t="s">
        <v>2688</v>
      </c>
      <c r="C374" s="444" t="s">
        <v>2641</v>
      </c>
      <c r="D374" s="445">
        <f t="shared" si="5"/>
        <v>28.77</v>
      </c>
      <c r="E374" s="446">
        <v>28770</v>
      </c>
    </row>
    <row r="375" spans="1:5" ht="12.9" customHeight="1">
      <c r="A375" s="1103"/>
      <c r="B375" s="444" t="s">
        <v>2823</v>
      </c>
      <c r="C375" s="444" t="s">
        <v>2641</v>
      </c>
      <c r="D375" s="445">
        <f t="shared" si="5"/>
        <v>18.603000000000002</v>
      </c>
      <c r="E375" s="446">
        <v>18603</v>
      </c>
    </row>
    <row r="376" spans="1:5" ht="12.9" customHeight="1">
      <c r="A376" s="1103"/>
      <c r="B376" s="444"/>
      <c r="C376" s="444" t="s">
        <v>2646</v>
      </c>
      <c r="D376" s="445">
        <f t="shared" si="5"/>
        <v>257</v>
      </c>
      <c r="E376" s="446">
        <v>257000</v>
      </c>
    </row>
    <row r="377" spans="1:5" ht="12.9" customHeight="1">
      <c r="A377" s="1103"/>
      <c r="B377" s="444"/>
      <c r="C377" s="444" t="s">
        <v>2638</v>
      </c>
      <c r="D377" s="445">
        <f t="shared" si="5"/>
        <v>290</v>
      </c>
      <c r="E377" s="446">
        <v>290000</v>
      </c>
    </row>
    <row r="378" spans="1:5" ht="12.9" customHeight="1">
      <c r="A378" s="1103"/>
      <c r="B378" s="444" t="s">
        <v>2824</v>
      </c>
      <c r="C378" s="444" t="s">
        <v>2641</v>
      </c>
      <c r="D378" s="445">
        <f t="shared" si="5"/>
        <v>11.7</v>
      </c>
      <c r="E378" s="446">
        <v>11700</v>
      </c>
    </row>
    <row r="379" spans="1:5" ht="12.9" customHeight="1">
      <c r="A379" s="1103"/>
      <c r="B379" s="444" t="s">
        <v>2825</v>
      </c>
      <c r="C379" s="444" t="s">
        <v>2638</v>
      </c>
      <c r="D379" s="445">
        <f t="shared" si="5"/>
        <v>120</v>
      </c>
      <c r="E379" s="446">
        <v>120000</v>
      </c>
    </row>
    <row r="380" spans="1:5" ht="12.9" customHeight="1">
      <c r="A380" s="1104"/>
      <c r="B380" s="444" t="s">
        <v>2826</v>
      </c>
      <c r="C380" s="444" t="s">
        <v>2641</v>
      </c>
      <c r="D380" s="445">
        <f t="shared" si="5"/>
        <v>11.32</v>
      </c>
      <c r="E380" s="446">
        <v>11320</v>
      </c>
    </row>
    <row r="381" spans="1:5" ht="12.9" customHeight="1">
      <c r="A381" s="1093" t="s">
        <v>2785</v>
      </c>
      <c r="B381" s="444" t="s">
        <v>2827</v>
      </c>
      <c r="C381" s="444" t="s">
        <v>2649</v>
      </c>
      <c r="D381" s="445">
        <f t="shared" si="5"/>
        <v>20</v>
      </c>
      <c r="E381" s="446">
        <v>20000</v>
      </c>
    </row>
    <row r="382" spans="1:5" ht="12.9" customHeight="1">
      <c r="A382" s="1103"/>
      <c r="B382" s="444"/>
      <c r="C382" s="444" t="s">
        <v>2641</v>
      </c>
      <c r="D382" s="445">
        <f t="shared" si="5"/>
        <v>22.707999999999998</v>
      </c>
      <c r="E382" s="446">
        <v>22708</v>
      </c>
    </row>
    <row r="383" spans="1:5" ht="12.9" customHeight="1">
      <c r="A383" s="1103"/>
      <c r="B383" s="444"/>
      <c r="C383" s="444" t="s">
        <v>2645</v>
      </c>
      <c r="D383" s="445">
        <f t="shared" si="5"/>
        <v>10</v>
      </c>
      <c r="E383" s="446">
        <v>10000</v>
      </c>
    </row>
    <row r="384" spans="1:5" ht="12.9" customHeight="1">
      <c r="A384" s="1103"/>
      <c r="B384" s="444"/>
      <c r="C384" s="444" t="s">
        <v>2643</v>
      </c>
      <c r="D384" s="445">
        <f t="shared" si="5"/>
        <v>50</v>
      </c>
      <c r="E384" s="446">
        <v>50000</v>
      </c>
    </row>
    <row r="385" spans="1:5" ht="12.9" customHeight="1">
      <c r="A385" s="1103"/>
      <c r="B385" s="444"/>
      <c r="C385" s="444" t="s">
        <v>2651</v>
      </c>
      <c r="D385" s="445">
        <f t="shared" si="5"/>
        <v>40</v>
      </c>
      <c r="E385" s="446">
        <v>40000</v>
      </c>
    </row>
    <row r="386" spans="1:5" ht="12.9" customHeight="1">
      <c r="A386" s="1103"/>
      <c r="B386" s="444"/>
      <c r="C386" s="444" t="s">
        <v>2652</v>
      </c>
      <c r="D386" s="445">
        <f t="shared" si="5"/>
        <v>76</v>
      </c>
      <c r="E386" s="446">
        <v>76000</v>
      </c>
    </row>
    <row r="387" spans="1:5" ht="12.9" customHeight="1">
      <c r="A387" s="1103"/>
      <c r="B387" s="444"/>
      <c r="C387" s="444" t="s">
        <v>2638</v>
      </c>
      <c r="D387" s="445">
        <f t="shared" si="5"/>
        <v>160</v>
      </c>
      <c r="E387" s="446">
        <v>160000</v>
      </c>
    </row>
    <row r="388" spans="1:5" ht="12.9" customHeight="1">
      <c r="A388" s="1103"/>
      <c r="B388" s="444"/>
      <c r="C388" s="444" t="s">
        <v>2653</v>
      </c>
      <c r="D388" s="445">
        <f t="shared" si="5"/>
        <v>318</v>
      </c>
      <c r="E388" s="446">
        <v>318000</v>
      </c>
    </row>
    <row r="389" spans="1:5" ht="12.9" customHeight="1">
      <c r="A389" s="1103"/>
      <c r="B389" s="444" t="s">
        <v>2828</v>
      </c>
      <c r="C389" s="444" t="s">
        <v>2646</v>
      </c>
      <c r="D389" s="445">
        <f t="shared" si="5"/>
        <v>300</v>
      </c>
      <c r="E389" s="446">
        <v>300000</v>
      </c>
    </row>
    <row r="390" spans="1:5" ht="12.9" customHeight="1">
      <c r="A390" s="1103"/>
      <c r="B390" s="444"/>
      <c r="C390" s="444" t="s">
        <v>2639</v>
      </c>
      <c r="D390" s="445">
        <f t="shared" ref="D390:D453" si="6">E390/1000</f>
        <v>650</v>
      </c>
      <c r="E390" s="446">
        <v>650000</v>
      </c>
    </row>
    <row r="391" spans="1:5" ht="12.9" customHeight="1">
      <c r="A391" s="1103"/>
      <c r="B391" s="444" t="s">
        <v>2829</v>
      </c>
      <c r="C391" s="444" t="s">
        <v>2638</v>
      </c>
      <c r="D391" s="445">
        <f t="shared" si="6"/>
        <v>164</v>
      </c>
      <c r="E391" s="446">
        <v>164000</v>
      </c>
    </row>
    <row r="392" spans="1:5" ht="12.9" customHeight="1">
      <c r="A392" s="1103"/>
      <c r="B392" s="444" t="s">
        <v>2830</v>
      </c>
      <c r="C392" s="444" t="s">
        <v>2638</v>
      </c>
      <c r="D392" s="445">
        <f t="shared" si="6"/>
        <v>280</v>
      </c>
      <c r="E392" s="446">
        <v>280000</v>
      </c>
    </row>
    <row r="393" spans="1:5" ht="12.9" customHeight="1">
      <c r="A393" s="1103"/>
      <c r="B393" s="444" t="s">
        <v>2831</v>
      </c>
      <c r="C393" s="444" t="s">
        <v>2641</v>
      </c>
      <c r="D393" s="445">
        <f t="shared" si="6"/>
        <v>144.96299999999999</v>
      </c>
      <c r="E393" s="446">
        <v>144963</v>
      </c>
    </row>
    <row r="394" spans="1:5" ht="12.9" customHeight="1">
      <c r="A394" s="1103"/>
      <c r="B394" s="444"/>
      <c r="C394" s="444" t="s">
        <v>2638</v>
      </c>
      <c r="D394" s="445">
        <f t="shared" si="6"/>
        <v>200</v>
      </c>
      <c r="E394" s="446">
        <v>200000</v>
      </c>
    </row>
    <row r="395" spans="1:5" ht="12.9" customHeight="1">
      <c r="A395" s="1103"/>
      <c r="B395" s="444" t="s">
        <v>2832</v>
      </c>
      <c r="C395" s="444" t="s">
        <v>2657</v>
      </c>
      <c r="D395" s="445">
        <f t="shared" si="6"/>
        <v>105</v>
      </c>
      <c r="E395" s="446">
        <v>105000</v>
      </c>
    </row>
    <row r="396" spans="1:5" ht="12.9" customHeight="1">
      <c r="A396" s="1103"/>
      <c r="B396" s="444"/>
      <c r="C396" s="444" t="s">
        <v>2641</v>
      </c>
      <c r="D396" s="445">
        <f t="shared" si="6"/>
        <v>89.77</v>
      </c>
      <c r="E396" s="446">
        <v>89770</v>
      </c>
    </row>
    <row r="397" spans="1:5" ht="12.9" customHeight="1">
      <c r="A397" s="1103"/>
      <c r="B397" s="444"/>
      <c r="C397" s="444" t="s">
        <v>2646</v>
      </c>
      <c r="D397" s="445">
        <f t="shared" si="6"/>
        <v>500</v>
      </c>
      <c r="E397" s="446">
        <v>500000</v>
      </c>
    </row>
    <row r="398" spans="1:5" ht="12.9" customHeight="1">
      <c r="A398" s="1103"/>
      <c r="B398" s="444"/>
      <c r="C398" s="444" t="s">
        <v>2638</v>
      </c>
      <c r="D398" s="445">
        <f t="shared" si="6"/>
        <v>260</v>
      </c>
      <c r="E398" s="446">
        <v>260000</v>
      </c>
    </row>
    <row r="399" spans="1:5" ht="12.9" customHeight="1">
      <c r="A399" s="1103"/>
      <c r="B399" s="444" t="s">
        <v>2833</v>
      </c>
      <c r="C399" s="444" t="s">
        <v>2641</v>
      </c>
      <c r="D399" s="445">
        <f t="shared" si="6"/>
        <v>52.56</v>
      </c>
      <c r="E399" s="446">
        <v>52560</v>
      </c>
    </row>
    <row r="400" spans="1:5" ht="12.9" customHeight="1">
      <c r="A400" s="1103"/>
      <c r="B400" s="444"/>
      <c r="C400" s="444" t="s">
        <v>2638</v>
      </c>
      <c r="D400" s="445">
        <f t="shared" si="6"/>
        <v>270</v>
      </c>
      <c r="E400" s="446">
        <v>270000</v>
      </c>
    </row>
    <row r="401" spans="1:5" ht="12.9" customHeight="1">
      <c r="A401" s="1103"/>
      <c r="B401" s="444" t="s">
        <v>2702</v>
      </c>
      <c r="C401" s="444" t="s">
        <v>2638</v>
      </c>
      <c r="D401" s="445">
        <f t="shared" si="6"/>
        <v>128</v>
      </c>
      <c r="E401" s="446">
        <v>128000</v>
      </c>
    </row>
    <row r="402" spans="1:5" ht="12.9" customHeight="1">
      <c r="A402" s="1103"/>
      <c r="B402" s="444" t="s">
        <v>2834</v>
      </c>
      <c r="C402" s="444" t="s">
        <v>2641</v>
      </c>
      <c r="D402" s="445">
        <f t="shared" si="6"/>
        <v>26.49</v>
      </c>
      <c r="E402" s="446">
        <v>26490</v>
      </c>
    </row>
    <row r="403" spans="1:5" ht="12.9" customHeight="1">
      <c r="A403" s="1103"/>
      <c r="B403" s="444"/>
      <c r="C403" s="444" t="s">
        <v>2645</v>
      </c>
      <c r="D403" s="445">
        <f t="shared" si="6"/>
        <v>5</v>
      </c>
      <c r="E403" s="446">
        <v>5000</v>
      </c>
    </row>
    <row r="404" spans="1:5" ht="12.9" customHeight="1">
      <c r="A404" s="1103"/>
      <c r="B404" s="444"/>
      <c r="C404" s="444" t="s">
        <v>2769</v>
      </c>
      <c r="D404" s="445">
        <f t="shared" si="6"/>
        <v>40</v>
      </c>
      <c r="E404" s="446">
        <v>40000</v>
      </c>
    </row>
    <row r="405" spans="1:5" ht="12.9" customHeight="1">
      <c r="A405" s="1103"/>
      <c r="B405" s="444"/>
      <c r="C405" s="444" t="s">
        <v>2787</v>
      </c>
      <c r="D405" s="445">
        <f t="shared" si="6"/>
        <v>20</v>
      </c>
      <c r="E405" s="446">
        <v>20000</v>
      </c>
    </row>
    <row r="406" spans="1:5" ht="12.9" customHeight="1">
      <c r="A406" s="1103"/>
      <c r="B406" s="444"/>
      <c r="C406" s="444" t="s">
        <v>2662</v>
      </c>
      <c r="D406" s="445">
        <f t="shared" si="6"/>
        <v>12</v>
      </c>
      <c r="E406" s="446">
        <v>12000</v>
      </c>
    </row>
    <row r="407" spans="1:5" ht="12.9" customHeight="1">
      <c r="A407" s="1103"/>
      <c r="B407" s="444"/>
      <c r="C407" s="444" t="s">
        <v>2803</v>
      </c>
      <c r="D407" s="445">
        <f t="shared" si="6"/>
        <v>11</v>
      </c>
      <c r="E407" s="446">
        <v>11000</v>
      </c>
    </row>
    <row r="408" spans="1:5" ht="12.9" customHeight="1">
      <c r="A408" s="1103"/>
      <c r="B408" s="444"/>
      <c r="C408" s="444" t="s">
        <v>2652</v>
      </c>
      <c r="D408" s="445">
        <f t="shared" si="6"/>
        <v>75.099999999999994</v>
      </c>
      <c r="E408" s="446">
        <v>75100</v>
      </c>
    </row>
    <row r="409" spans="1:5" ht="12.9" customHeight="1">
      <c r="A409" s="1103"/>
      <c r="B409" s="444" t="s">
        <v>2835</v>
      </c>
      <c r="C409" s="444" t="s">
        <v>2638</v>
      </c>
      <c r="D409" s="445">
        <f t="shared" si="6"/>
        <v>180</v>
      </c>
      <c r="E409" s="446">
        <v>180000</v>
      </c>
    </row>
    <row r="410" spans="1:5" ht="12.9" customHeight="1">
      <c r="A410" s="1103"/>
      <c r="B410" s="444" t="s">
        <v>2836</v>
      </c>
      <c r="C410" s="444" t="s">
        <v>2641</v>
      </c>
      <c r="D410" s="445">
        <f t="shared" si="6"/>
        <v>18.440000000000001</v>
      </c>
      <c r="E410" s="446">
        <v>18440</v>
      </c>
    </row>
    <row r="411" spans="1:5" ht="12.9" customHeight="1">
      <c r="A411" s="1103"/>
      <c r="B411" s="444"/>
      <c r="C411" s="444" t="s">
        <v>2638</v>
      </c>
      <c r="D411" s="445">
        <f t="shared" si="6"/>
        <v>150</v>
      </c>
      <c r="E411" s="446">
        <v>150000</v>
      </c>
    </row>
    <row r="412" spans="1:5" ht="12.9" customHeight="1">
      <c r="A412" s="1103"/>
      <c r="B412" s="444" t="s">
        <v>2837</v>
      </c>
      <c r="C412" s="444" t="s">
        <v>2638</v>
      </c>
      <c r="D412" s="445">
        <f t="shared" si="6"/>
        <v>170</v>
      </c>
      <c r="E412" s="446">
        <v>170000</v>
      </c>
    </row>
    <row r="413" spans="1:5" ht="12.9" customHeight="1">
      <c r="A413" s="1103"/>
      <c r="B413" s="444" t="s">
        <v>2838</v>
      </c>
      <c r="C413" s="444" t="s">
        <v>2641</v>
      </c>
      <c r="D413" s="445">
        <f t="shared" si="6"/>
        <v>99.53</v>
      </c>
      <c r="E413" s="446">
        <v>99530</v>
      </c>
    </row>
    <row r="414" spans="1:5" ht="12.9" customHeight="1">
      <c r="A414" s="1103"/>
      <c r="B414" s="444" t="s">
        <v>2839</v>
      </c>
      <c r="C414" s="444" t="s">
        <v>2639</v>
      </c>
      <c r="D414" s="445">
        <f t="shared" si="6"/>
        <v>490</v>
      </c>
      <c r="E414" s="446">
        <v>490000</v>
      </c>
    </row>
    <row r="415" spans="1:5" ht="12.9" customHeight="1">
      <c r="A415" s="1103"/>
      <c r="B415" s="444" t="s">
        <v>2840</v>
      </c>
      <c r="C415" s="444" t="s">
        <v>2638</v>
      </c>
      <c r="D415" s="445">
        <f t="shared" si="6"/>
        <v>260</v>
      </c>
      <c r="E415" s="446">
        <v>260000</v>
      </c>
    </row>
    <row r="416" spans="1:5" ht="12.9" customHeight="1">
      <c r="A416" s="1103"/>
      <c r="B416" s="444" t="s">
        <v>2841</v>
      </c>
      <c r="C416" s="444" t="s">
        <v>2638</v>
      </c>
      <c r="D416" s="445">
        <f t="shared" si="6"/>
        <v>200</v>
      </c>
      <c r="E416" s="446">
        <v>200000</v>
      </c>
    </row>
    <row r="417" spans="1:5" ht="12.9" customHeight="1">
      <c r="A417" s="1103"/>
      <c r="B417" s="444" t="s">
        <v>2842</v>
      </c>
      <c r="C417" s="444" t="s">
        <v>2638</v>
      </c>
      <c r="D417" s="445">
        <f t="shared" si="6"/>
        <v>102</v>
      </c>
      <c r="E417" s="446">
        <v>102000</v>
      </c>
    </row>
    <row r="418" spans="1:5" ht="12.9" customHeight="1">
      <c r="A418" s="1104"/>
      <c r="B418" s="444" t="s">
        <v>2843</v>
      </c>
      <c r="C418" s="444" t="s">
        <v>2650</v>
      </c>
      <c r="D418" s="445">
        <f t="shared" si="6"/>
        <v>1500</v>
      </c>
      <c r="E418" s="446">
        <v>1500000</v>
      </c>
    </row>
    <row r="419" spans="1:5" ht="12.9" customHeight="1">
      <c r="A419" s="1093" t="s">
        <v>2785</v>
      </c>
      <c r="B419" s="444" t="s">
        <v>2843</v>
      </c>
      <c r="C419" s="444" t="s">
        <v>2638</v>
      </c>
      <c r="D419" s="445">
        <f t="shared" si="6"/>
        <v>300</v>
      </c>
      <c r="E419" s="446">
        <v>300000</v>
      </c>
    </row>
    <row r="420" spans="1:5" ht="12.9" customHeight="1">
      <c r="A420" s="1094"/>
      <c r="B420" s="444" t="s">
        <v>2844</v>
      </c>
      <c r="C420" s="444" t="s">
        <v>2638</v>
      </c>
      <c r="D420" s="445">
        <f t="shared" si="6"/>
        <v>160</v>
      </c>
      <c r="E420" s="446">
        <v>160000</v>
      </c>
    </row>
    <row r="421" spans="1:5" ht="12.9" customHeight="1">
      <c r="A421" s="1094"/>
      <c r="B421" s="444" t="s">
        <v>2845</v>
      </c>
      <c r="C421" s="444" t="s">
        <v>2672</v>
      </c>
      <c r="D421" s="445">
        <f t="shared" si="6"/>
        <v>650</v>
      </c>
      <c r="E421" s="446">
        <v>650000</v>
      </c>
    </row>
    <row r="422" spans="1:5" ht="12.9" customHeight="1">
      <c r="A422" s="1094"/>
      <c r="B422" s="444"/>
      <c r="C422" s="444" t="s">
        <v>2641</v>
      </c>
      <c r="D422" s="445">
        <f t="shared" si="6"/>
        <v>16.847999999999999</v>
      </c>
      <c r="E422" s="446">
        <v>16848</v>
      </c>
    </row>
    <row r="423" spans="1:5" ht="12.9" customHeight="1">
      <c r="A423" s="1094"/>
      <c r="B423" s="444"/>
      <c r="C423" s="444" t="s">
        <v>2645</v>
      </c>
      <c r="D423" s="445">
        <f t="shared" si="6"/>
        <v>15</v>
      </c>
      <c r="E423" s="446">
        <v>15000</v>
      </c>
    </row>
    <row r="424" spans="1:5" ht="12.9" customHeight="1">
      <c r="A424" s="1094"/>
      <c r="B424" s="444" t="s">
        <v>2846</v>
      </c>
      <c r="C424" s="444" t="s">
        <v>2638</v>
      </c>
      <c r="D424" s="445">
        <f t="shared" si="6"/>
        <v>100</v>
      </c>
      <c r="E424" s="446">
        <v>100000</v>
      </c>
    </row>
    <row r="425" spans="1:5" ht="12.9" customHeight="1">
      <c r="A425" s="1094"/>
      <c r="B425" s="444" t="s">
        <v>2847</v>
      </c>
      <c r="C425" s="444" t="s">
        <v>2638</v>
      </c>
      <c r="D425" s="445">
        <f t="shared" si="6"/>
        <v>150</v>
      </c>
      <c r="E425" s="446">
        <v>150000</v>
      </c>
    </row>
    <row r="426" spans="1:5" ht="12.9" customHeight="1">
      <c r="A426" s="1094"/>
      <c r="B426" s="444" t="s">
        <v>2848</v>
      </c>
      <c r="C426" s="444" t="s">
        <v>2641</v>
      </c>
      <c r="D426" s="445">
        <f t="shared" si="6"/>
        <v>48.238</v>
      </c>
      <c r="E426" s="446">
        <v>48238</v>
      </c>
    </row>
    <row r="427" spans="1:5" ht="12.9" customHeight="1">
      <c r="A427" s="1094"/>
      <c r="B427" s="444" t="s">
        <v>2849</v>
      </c>
      <c r="C427" s="444" t="s">
        <v>2641</v>
      </c>
      <c r="D427" s="445">
        <f t="shared" si="6"/>
        <v>51.71</v>
      </c>
      <c r="E427" s="446">
        <v>51710</v>
      </c>
    </row>
    <row r="428" spans="1:5" ht="12.9" customHeight="1">
      <c r="A428" s="1094"/>
      <c r="B428" s="444" t="s">
        <v>2850</v>
      </c>
      <c r="C428" s="444" t="s">
        <v>2641</v>
      </c>
      <c r="D428" s="445">
        <f t="shared" si="6"/>
        <v>111.60599999999999</v>
      </c>
      <c r="E428" s="446">
        <v>111606</v>
      </c>
    </row>
    <row r="429" spans="1:5" ht="12.9" customHeight="1">
      <c r="A429" s="1094"/>
      <c r="B429" s="444"/>
      <c r="C429" s="444" t="s">
        <v>2638</v>
      </c>
      <c r="D429" s="445">
        <f t="shared" si="6"/>
        <v>174</v>
      </c>
      <c r="E429" s="446">
        <v>174000</v>
      </c>
    </row>
    <row r="430" spans="1:5" ht="12.9" customHeight="1">
      <c r="A430" s="1105"/>
      <c r="B430" s="444" t="s">
        <v>2851</v>
      </c>
      <c r="C430" s="444" t="s">
        <v>2657</v>
      </c>
      <c r="D430" s="445">
        <f t="shared" si="6"/>
        <v>100</v>
      </c>
      <c r="E430" s="446">
        <v>100000</v>
      </c>
    </row>
    <row r="431" spans="1:5" ht="12.9" customHeight="1">
      <c r="A431" s="1101" t="s">
        <v>2852</v>
      </c>
      <c r="B431" s="1102"/>
      <c r="C431" s="449"/>
      <c r="D431" s="448">
        <f t="shared" si="6"/>
        <v>24521.225999999999</v>
      </c>
      <c r="E431" s="446">
        <v>24521226</v>
      </c>
    </row>
    <row r="432" spans="1:5" ht="12.9" customHeight="1">
      <c r="A432" s="1093" t="s">
        <v>2853</v>
      </c>
      <c r="B432" s="444" t="s">
        <v>2854</v>
      </c>
      <c r="C432" s="444" t="s">
        <v>2641</v>
      </c>
      <c r="D432" s="445">
        <f t="shared" si="6"/>
        <v>32.292000000000002</v>
      </c>
      <c r="E432" s="446">
        <v>32292</v>
      </c>
    </row>
    <row r="433" spans="1:5" ht="12.9" customHeight="1">
      <c r="A433" s="1094"/>
      <c r="B433" s="444"/>
      <c r="C433" s="444" t="s">
        <v>2652</v>
      </c>
      <c r="D433" s="445">
        <f t="shared" si="6"/>
        <v>32</v>
      </c>
      <c r="E433" s="446">
        <v>32000</v>
      </c>
    </row>
    <row r="434" spans="1:5" ht="12.9" customHeight="1">
      <c r="A434" s="1094"/>
      <c r="B434" s="444"/>
      <c r="C434" s="444" t="s">
        <v>2638</v>
      </c>
      <c r="D434" s="445">
        <f t="shared" si="6"/>
        <v>150</v>
      </c>
      <c r="E434" s="446">
        <v>150000</v>
      </c>
    </row>
    <row r="435" spans="1:5" ht="12.9" customHeight="1">
      <c r="A435" s="1094"/>
      <c r="B435" s="444" t="s">
        <v>2855</v>
      </c>
      <c r="C435" s="444" t="s">
        <v>2638</v>
      </c>
      <c r="D435" s="445">
        <f t="shared" si="6"/>
        <v>164</v>
      </c>
      <c r="E435" s="446">
        <v>164000</v>
      </c>
    </row>
    <row r="436" spans="1:5" ht="12.9" customHeight="1">
      <c r="A436" s="1094"/>
      <c r="B436" s="444"/>
      <c r="C436" s="444" t="s">
        <v>2639</v>
      </c>
      <c r="D436" s="445">
        <f t="shared" si="6"/>
        <v>350</v>
      </c>
      <c r="E436" s="446">
        <v>350000</v>
      </c>
    </row>
    <row r="437" spans="1:5" ht="12.9" customHeight="1">
      <c r="A437" s="1094"/>
      <c r="B437" s="444" t="s">
        <v>2856</v>
      </c>
      <c r="C437" s="444" t="s">
        <v>2670</v>
      </c>
      <c r="D437" s="445">
        <f t="shared" si="6"/>
        <v>5</v>
      </c>
      <c r="E437" s="446">
        <v>5000</v>
      </c>
    </row>
    <row r="438" spans="1:5" ht="12.9" customHeight="1">
      <c r="A438" s="1094"/>
      <c r="B438" s="444"/>
      <c r="C438" s="444" t="s">
        <v>2638</v>
      </c>
      <c r="D438" s="445">
        <f t="shared" si="6"/>
        <v>300</v>
      </c>
      <c r="E438" s="446">
        <v>300000</v>
      </c>
    </row>
    <row r="439" spans="1:5" ht="12.9" customHeight="1">
      <c r="A439" s="1094"/>
      <c r="B439" s="444" t="s">
        <v>2857</v>
      </c>
      <c r="C439" s="444" t="s">
        <v>2641</v>
      </c>
      <c r="D439" s="445">
        <f t="shared" si="6"/>
        <v>111.95</v>
      </c>
      <c r="E439" s="446">
        <v>111950</v>
      </c>
    </row>
    <row r="440" spans="1:5" ht="12.9" customHeight="1">
      <c r="A440" s="1094"/>
      <c r="B440" s="444"/>
      <c r="C440" s="444" t="s">
        <v>2769</v>
      </c>
      <c r="D440" s="445">
        <f t="shared" si="6"/>
        <v>40</v>
      </c>
      <c r="E440" s="446">
        <v>40000</v>
      </c>
    </row>
    <row r="441" spans="1:5" ht="12.9" customHeight="1">
      <c r="A441" s="1094"/>
      <c r="B441" s="444"/>
      <c r="C441" s="444" t="s">
        <v>2654</v>
      </c>
      <c r="D441" s="445">
        <f t="shared" si="6"/>
        <v>350</v>
      </c>
      <c r="E441" s="446">
        <v>350000</v>
      </c>
    </row>
    <row r="442" spans="1:5" ht="12.9" customHeight="1">
      <c r="A442" s="1094"/>
      <c r="B442" s="444" t="s">
        <v>2858</v>
      </c>
      <c r="C442" s="444" t="s">
        <v>2646</v>
      </c>
      <c r="D442" s="445">
        <f t="shared" si="6"/>
        <v>1000</v>
      </c>
      <c r="E442" s="446">
        <v>1000000</v>
      </c>
    </row>
    <row r="443" spans="1:5" ht="12.9" customHeight="1">
      <c r="A443" s="1094"/>
      <c r="B443" s="444"/>
      <c r="C443" s="444" t="s">
        <v>2639</v>
      </c>
      <c r="D443" s="445">
        <f t="shared" si="6"/>
        <v>350</v>
      </c>
      <c r="E443" s="446">
        <v>350000</v>
      </c>
    </row>
    <row r="444" spans="1:5" ht="12.9" customHeight="1">
      <c r="A444" s="1094"/>
      <c r="B444" s="444" t="s">
        <v>2859</v>
      </c>
      <c r="C444" s="444" t="s">
        <v>2641</v>
      </c>
      <c r="D444" s="445">
        <f t="shared" si="6"/>
        <v>11.15</v>
      </c>
      <c r="E444" s="446">
        <v>11150</v>
      </c>
    </row>
    <row r="445" spans="1:5" ht="12.9" customHeight="1">
      <c r="A445" s="1094"/>
      <c r="B445" s="444"/>
      <c r="C445" s="444" t="s">
        <v>2638</v>
      </c>
      <c r="D445" s="445">
        <f t="shared" si="6"/>
        <v>160</v>
      </c>
      <c r="E445" s="446">
        <v>160000</v>
      </c>
    </row>
    <row r="446" spans="1:5" ht="12.9" customHeight="1">
      <c r="A446" s="1094"/>
      <c r="B446" s="444" t="s">
        <v>2860</v>
      </c>
      <c r="C446" s="444" t="s">
        <v>2638</v>
      </c>
      <c r="D446" s="445">
        <f t="shared" si="6"/>
        <v>300</v>
      </c>
      <c r="E446" s="446">
        <v>300000</v>
      </c>
    </row>
    <row r="447" spans="1:5" ht="12.9" customHeight="1">
      <c r="A447" s="1094"/>
      <c r="B447" s="444" t="s">
        <v>2861</v>
      </c>
      <c r="C447" s="444" t="s">
        <v>2657</v>
      </c>
      <c r="D447" s="445">
        <f t="shared" si="6"/>
        <v>100</v>
      </c>
      <c r="E447" s="446">
        <v>100000</v>
      </c>
    </row>
    <row r="448" spans="1:5" ht="12.75" customHeight="1">
      <c r="A448" s="1094"/>
      <c r="B448" s="444"/>
      <c r="C448" s="444" t="s">
        <v>2646</v>
      </c>
      <c r="D448" s="445">
        <f t="shared" si="6"/>
        <v>1300</v>
      </c>
      <c r="E448" s="446">
        <v>1300000</v>
      </c>
    </row>
    <row r="449" spans="1:5" ht="12.9" customHeight="1">
      <c r="A449" s="1094"/>
      <c r="B449" s="444" t="s">
        <v>2862</v>
      </c>
      <c r="C449" s="444" t="s">
        <v>2638</v>
      </c>
      <c r="D449" s="445">
        <f t="shared" si="6"/>
        <v>100</v>
      </c>
      <c r="E449" s="446">
        <v>100000</v>
      </c>
    </row>
    <row r="450" spans="1:5" ht="12.9" customHeight="1">
      <c r="A450" s="1094"/>
      <c r="B450" s="444"/>
      <c r="C450" s="444" t="s">
        <v>2639</v>
      </c>
      <c r="D450" s="445">
        <f t="shared" si="6"/>
        <v>80</v>
      </c>
      <c r="E450" s="446">
        <v>80000</v>
      </c>
    </row>
    <row r="451" spans="1:5" ht="12.9" customHeight="1">
      <c r="A451" s="1094"/>
      <c r="B451" s="444" t="s">
        <v>2863</v>
      </c>
      <c r="C451" s="444" t="s">
        <v>2638</v>
      </c>
      <c r="D451" s="445">
        <f t="shared" si="6"/>
        <v>200</v>
      </c>
      <c r="E451" s="446">
        <v>200000</v>
      </c>
    </row>
    <row r="452" spans="1:5" ht="12.9" customHeight="1">
      <c r="A452" s="1094"/>
      <c r="B452" s="444"/>
      <c r="C452" s="444" t="s">
        <v>2639</v>
      </c>
      <c r="D452" s="445">
        <f t="shared" si="6"/>
        <v>400</v>
      </c>
      <c r="E452" s="446">
        <v>400000</v>
      </c>
    </row>
    <row r="453" spans="1:5" ht="12.9" customHeight="1">
      <c r="A453" s="1094"/>
      <c r="B453" s="444" t="s">
        <v>2618</v>
      </c>
      <c r="C453" s="444" t="s">
        <v>2657</v>
      </c>
      <c r="D453" s="445">
        <f t="shared" si="6"/>
        <v>124</v>
      </c>
      <c r="E453" s="446">
        <v>124000</v>
      </c>
    </row>
    <row r="454" spans="1:5" ht="12.9" customHeight="1">
      <c r="A454" s="1094"/>
      <c r="B454" s="444"/>
      <c r="C454" s="444" t="s">
        <v>2641</v>
      </c>
      <c r="D454" s="445">
        <f t="shared" ref="D454:D517" si="7">E454/1000</f>
        <v>350</v>
      </c>
      <c r="E454" s="446">
        <v>350000</v>
      </c>
    </row>
    <row r="455" spans="1:5" ht="12.9" customHeight="1">
      <c r="A455" s="1094"/>
      <c r="B455" s="444"/>
      <c r="C455" s="444" t="s">
        <v>2864</v>
      </c>
      <c r="D455" s="445">
        <f t="shared" si="7"/>
        <v>30</v>
      </c>
      <c r="E455" s="446">
        <v>30000</v>
      </c>
    </row>
    <row r="456" spans="1:5" ht="12.9" customHeight="1">
      <c r="A456" s="1095"/>
      <c r="B456" s="444"/>
      <c r="C456" s="444" t="s">
        <v>2797</v>
      </c>
      <c r="D456" s="445">
        <f t="shared" si="7"/>
        <v>5200</v>
      </c>
      <c r="E456" s="446">
        <v>5200000</v>
      </c>
    </row>
    <row r="457" spans="1:5" ht="12.9" customHeight="1">
      <c r="A457" s="1093" t="s">
        <v>2853</v>
      </c>
      <c r="B457" s="444" t="s">
        <v>2618</v>
      </c>
      <c r="C457" s="444" t="s">
        <v>2643</v>
      </c>
      <c r="D457" s="445">
        <f t="shared" si="7"/>
        <v>15</v>
      </c>
      <c r="E457" s="446">
        <v>15000</v>
      </c>
    </row>
    <row r="458" spans="1:5" ht="12.9" customHeight="1">
      <c r="A458" s="1094"/>
      <c r="B458" s="444"/>
      <c r="C458" s="444" t="s">
        <v>2662</v>
      </c>
      <c r="D458" s="445">
        <f t="shared" si="7"/>
        <v>52</v>
      </c>
      <c r="E458" s="446">
        <v>52000</v>
      </c>
    </row>
    <row r="459" spans="1:5" ht="12.9" customHeight="1">
      <c r="A459" s="1094"/>
      <c r="B459" s="444"/>
      <c r="C459" s="444" t="s">
        <v>2652</v>
      </c>
      <c r="D459" s="445">
        <f t="shared" si="7"/>
        <v>48.5</v>
      </c>
      <c r="E459" s="446">
        <v>48500</v>
      </c>
    </row>
    <row r="460" spans="1:5" ht="12.9" customHeight="1">
      <c r="A460" s="1094"/>
      <c r="B460" s="444"/>
      <c r="C460" s="444" t="s">
        <v>2653</v>
      </c>
      <c r="D460" s="445">
        <f t="shared" si="7"/>
        <v>296</v>
      </c>
      <c r="E460" s="446">
        <v>296000</v>
      </c>
    </row>
    <row r="461" spans="1:5" ht="12.9" customHeight="1">
      <c r="A461" s="1094"/>
      <c r="B461" s="444" t="s">
        <v>2865</v>
      </c>
      <c r="C461" s="444" t="s">
        <v>2641</v>
      </c>
      <c r="D461" s="445">
        <f t="shared" si="7"/>
        <v>106.944</v>
      </c>
      <c r="E461" s="446">
        <v>106944</v>
      </c>
    </row>
    <row r="462" spans="1:5" ht="12.9" customHeight="1">
      <c r="A462" s="1094"/>
      <c r="B462" s="444"/>
      <c r="C462" s="444" t="s">
        <v>2650</v>
      </c>
      <c r="D462" s="445">
        <f t="shared" si="7"/>
        <v>1500</v>
      </c>
      <c r="E462" s="446">
        <v>1500000</v>
      </c>
    </row>
    <row r="463" spans="1:5" ht="12.9" customHeight="1">
      <c r="A463" s="1094"/>
      <c r="B463" s="444"/>
      <c r="C463" s="444" t="s">
        <v>2652</v>
      </c>
      <c r="D463" s="445">
        <f t="shared" si="7"/>
        <v>55</v>
      </c>
      <c r="E463" s="446">
        <v>55000</v>
      </c>
    </row>
    <row r="464" spans="1:5" ht="12.9" customHeight="1">
      <c r="A464" s="1094"/>
      <c r="B464" s="444" t="s">
        <v>2619</v>
      </c>
      <c r="C464" s="444" t="s">
        <v>2646</v>
      </c>
      <c r="D464" s="445">
        <f t="shared" si="7"/>
        <v>1000</v>
      </c>
      <c r="E464" s="446">
        <v>1000000</v>
      </c>
    </row>
    <row r="465" spans="1:5" ht="12.9" customHeight="1">
      <c r="A465" s="1094"/>
      <c r="B465" s="444"/>
      <c r="C465" s="444" t="s">
        <v>2638</v>
      </c>
      <c r="D465" s="445">
        <f t="shared" si="7"/>
        <v>120</v>
      </c>
      <c r="E465" s="446">
        <v>120000</v>
      </c>
    </row>
    <row r="466" spans="1:5" ht="12.9" customHeight="1">
      <c r="A466" s="1094"/>
      <c r="B466" s="444" t="s">
        <v>2866</v>
      </c>
      <c r="C466" s="444" t="s">
        <v>2638</v>
      </c>
      <c r="D466" s="445">
        <f t="shared" si="7"/>
        <v>191</v>
      </c>
      <c r="E466" s="446">
        <v>191000</v>
      </c>
    </row>
    <row r="467" spans="1:5" ht="12.9" customHeight="1">
      <c r="A467" s="1094"/>
      <c r="B467" s="444" t="s">
        <v>2867</v>
      </c>
      <c r="C467" s="444" t="s">
        <v>2641</v>
      </c>
      <c r="D467" s="445">
        <f t="shared" si="7"/>
        <v>87.6</v>
      </c>
      <c r="E467" s="446">
        <v>87600</v>
      </c>
    </row>
    <row r="468" spans="1:5" ht="12.9" customHeight="1">
      <c r="A468" s="1094"/>
      <c r="B468" s="444"/>
      <c r="C468" s="444" t="s">
        <v>2665</v>
      </c>
      <c r="D468" s="445">
        <f t="shared" si="7"/>
        <v>50</v>
      </c>
      <c r="E468" s="446">
        <v>50000</v>
      </c>
    </row>
    <row r="469" spans="1:5" ht="12.9" customHeight="1">
      <c r="A469" s="1094"/>
      <c r="B469" s="444"/>
      <c r="C469" s="444" t="s">
        <v>2646</v>
      </c>
      <c r="D469" s="445">
        <f t="shared" si="7"/>
        <v>1000</v>
      </c>
      <c r="E469" s="446">
        <v>1000000</v>
      </c>
    </row>
    <row r="470" spans="1:5" ht="12.9" customHeight="1">
      <c r="A470" s="1095"/>
      <c r="B470" s="444" t="s">
        <v>2868</v>
      </c>
      <c r="C470" s="444" t="s">
        <v>2654</v>
      </c>
      <c r="D470" s="445">
        <f t="shared" si="7"/>
        <v>400</v>
      </c>
      <c r="E470" s="446">
        <v>400000</v>
      </c>
    </row>
    <row r="471" spans="1:5" ht="12.9" customHeight="1">
      <c r="A471" s="1101" t="s">
        <v>2869</v>
      </c>
      <c r="B471" s="1102"/>
      <c r="C471" s="449"/>
      <c r="D471" s="448">
        <f t="shared" si="7"/>
        <v>16162.436</v>
      </c>
      <c r="E471" s="446">
        <v>16162436</v>
      </c>
    </row>
    <row r="472" spans="1:5" ht="12.9" customHeight="1">
      <c r="A472" s="1093" t="s">
        <v>2870</v>
      </c>
      <c r="B472" s="444" t="s">
        <v>2871</v>
      </c>
      <c r="C472" s="444" t="s">
        <v>2638</v>
      </c>
      <c r="D472" s="445">
        <f t="shared" si="7"/>
        <v>120</v>
      </c>
      <c r="E472" s="446">
        <v>120000</v>
      </c>
    </row>
    <row r="473" spans="1:5" ht="12.9" customHeight="1">
      <c r="A473" s="1103"/>
      <c r="B473" s="444" t="s">
        <v>2872</v>
      </c>
      <c r="C473" s="444" t="s">
        <v>2638</v>
      </c>
      <c r="D473" s="445">
        <f t="shared" si="7"/>
        <v>100</v>
      </c>
      <c r="E473" s="446">
        <v>100000</v>
      </c>
    </row>
    <row r="474" spans="1:5" ht="12.9" customHeight="1">
      <c r="A474" s="1103"/>
      <c r="B474" s="444" t="s">
        <v>2873</v>
      </c>
      <c r="C474" s="444" t="s">
        <v>2641</v>
      </c>
      <c r="D474" s="445">
        <f t="shared" si="7"/>
        <v>64.183999999999997</v>
      </c>
      <c r="E474" s="446">
        <v>64184</v>
      </c>
    </row>
    <row r="475" spans="1:5" ht="12.9" customHeight="1">
      <c r="A475" s="1103"/>
      <c r="B475" s="444" t="s">
        <v>2874</v>
      </c>
      <c r="C475" s="444" t="s">
        <v>2641</v>
      </c>
      <c r="D475" s="445">
        <f t="shared" si="7"/>
        <v>57.7</v>
      </c>
      <c r="E475" s="446">
        <v>57700</v>
      </c>
    </row>
    <row r="476" spans="1:5" ht="12.9" customHeight="1">
      <c r="A476" s="1103"/>
      <c r="B476" s="444"/>
      <c r="C476" s="444" t="s">
        <v>2638</v>
      </c>
      <c r="D476" s="445">
        <f t="shared" si="7"/>
        <v>100</v>
      </c>
      <c r="E476" s="446">
        <v>100000</v>
      </c>
    </row>
    <row r="477" spans="1:5" ht="12.9" customHeight="1">
      <c r="A477" s="1103"/>
      <c r="B477" s="444" t="s">
        <v>2875</v>
      </c>
      <c r="C477" s="444" t="s">
        <v>2638</v>
      </c>
      <c r="D477" s="445">
        <f t="shared" si="7"/>
        <v>230</v>
      </c>
      <c r="E477" s="446">
        <v>230000</v>
      </c>
    </row>
    <row r="478" spans="1:5" ht="12.9" customHeight="1">
      <c r="A478" s="1103"/>
      <c r="B478" s="444" t="s">
        <v>2876</v>
      </c>
      <c r="C478" s="444" t="s">
        <v>2665</v>
      </c>
      <c r="D478" s="445">
        <f t="shared" si="7"/>
        <v>50</v>
      </c>
      <c r="E478" s="446">
        <v>50000</v>
      </c>
    </row>
    <row r="479" spans="1:5" ht="12.9" customHeight="1">
      <c r="A479" s="1103"/>
      <c r="B479" s="444" t="s">
        <v>2877</v>
      </c>
      <c r="C479" s="444" t="s">
        <v>2641</v>
      </c>
      <c r="D479" s="445">
        <f t="shared" si="7"/>
        <v>50.204000000000001</v>
      </c>
      <c r="E479" s="446">
        <v>50204</v>
      </c>
    </row>
    <row r="480" spans="1:5" ht="12.9" customHeight="1">
      <c r="A480" s="1103"/>
      <c r="B480" s="444"/>
      <c r="C480" s="444" t="s">
        <v>2638</v>
      </c>
      <c r="D480" s="445">
        <f t="shared" si="7"/>
        <v>160</v>
      </c>
      <c r="E480" s="446">
        <v>160000</v>
      </c>
    </row>
    <row r="481" spans="1:5" ht="12.9" customHeight="1">
      <c r="A481" s="1103"/>
      <c r="B481" s="444" t="s">
        <v>2878</v>
      </c>
      <c r="C481" s="444" t="s">
        <v>2657</v>
      </c>
      <c r="D481" s="445">
        <f t="shared" si="7"/>
        <v>100</v>
      </c>
      <c r="E481" s="446">
        <v>100000</v>
      </c>
    </row>
    <row r="482" spans="1:5" ht="12.9" customHeight="1">
      <c r="A482" s="1103"/>
      <c r="B482" s="444"/>
      <c r="C482" s="444" t="s">
        <v>2641</v>
      </c>
      <c r="D482" s="445">
        <f t="shared" si="7"/>
        <v>7.44</v>
      </c>
      <c r="E482" s="446">
        <v>7440</v>
      </c>
    </row>
    <row r="483" spans="1:5" ht="12.9" customHeight="1">
      <c r="A483" s="1103"/>
      <c r="B483" s="444"/>
      <c r="C483" s="444" t="s">
        <v>2638</v>
      </c>
      <c r="D483" s="445">
        <f t="shared" si="7"/>
        <v>300</v>
      </c>
      <c r="E483" s="446">
        <v>300000</v>
      </c>
    </row>
    <row r="484" spans="1:5" ht="12.9" customHeight="1">
      <c r="A484" s="1103"/>
      <c r="B484" s="444"/>
      <c r="C484" s="444" t="s">
        <v>2639</v>
      </c>
      <c r="D484" s="445">
        <f t="shared" si="7"/>
        <v>400</v>
      </c>
      <c r="E484" s="446">
        <v>400000</v>
      </c>
    </row>
    <row r="485" spans="1:5" ht="12.9" customHeight="1">
      <c r="A485" s="1103"/>
      <c r="B485" s="444" t="s">
        <v>2730</v>
      </c>
      <c r="C485" s="444" t="s">
        <v>2641</v>
      </c>
      <c r="D485" s="445">
        <f t="shared" si="7"/>
        <v>38.5</v>
      </c>
      <c r="E485" s="446">
        <v>38500</v>
      </c>
    </row>
    <row r="486" spans="1:5" ht="12.9" customHeight="1">
      <c r="A486" s="1103"/>
      <c r="B486" s="444"/>
      <c r="C486" s="444" t="s">
        <v>2638</v>
      </c>
      <c r="D486" s="445">
        <f t="shared" si="7"/>
        <v>100</v>
      </c>
      <c r="E486" s="446">
        <v>100000</v>
      </c>
    </row>
    <row r="487" spans="1:5" ht="12.9" customHeight="1">
      <c r="A487" s="1103"/>
      <c r="B487" s="444"/>
      <c r="C487" s="444" t="s">
        <v>2639</v>
      </c>
      <c r="D487" s="445">
        <f t="shared" si="7"/>
        <v>250</v>
      </c>
      <c r="E487" s="446">
        <v>250000</v>
      </c>
    </row>
    <row r="488" spans="1:5" ht="12.9" customHeight="1">
      <c r="A488" s="1103"/>
      <c r="B488" s="444" t="s">
        <v>2879</v>
      </c>
      <c r="C488" s="444" t="s">
        <v>2670</v>
      </c>
      <c r="D488" s="445">
        <f t="shared" si="7"/>
        <v>10</v>
      </c>
      <c r="E488" s="446">
        <v>10000</v>
      </c>
    </row>
    <row r="489" spans="1:5" ht="12.9" customHeight="1">
      <c r="A489" s="1103"/>
      <c r="B489" s="444"/>
      <c r="C489" s="444" t="s">
        <v>2638</v>
      </c>
      <c r="D489" s="445">
        <f t="shared" si="7"/>
        <v>100</v>
      </c>
      <c r="E489" s="446">
        <v>100000</v>
      </c>
    </row>
    <row r="490" spans="1:5" ht="12.9" customHeight="1">
      <c r="A490" s="1103"/>
      <c r="B490" s="444" t="s">
        <v>2880</v>
      </c>
      <c r="C490" s="444" t="s">
        <v>2641</v>
      </c>
      <c r="D490" s="445">
        <f t="shared" si="7"/>
        <v>12.5</v>
      </c>
      <c r="E490" s="446">
        <v>12500</v>
      </c>
    </row>
    <row r="491" spans="1:5" ht="12.9" customHeight="1">
      <c r="A491" s="1103"/>
      <c r="B491" s="444"/>
      <c r="C491" s="444" t="s">
        <v>2638</v>
      </c>
      <c r="D491" s="445">
        <f t="shared" si="7"/>
        <v>120</v>
      </c>
      <c r="E491" s="446">
        <v>120000</v>
      </c>
    </row>
    <row r="492" spans="1:5" ht="12.9" customHeight="1">
      <c r="A492" s="1103"/>
      <c r="B492" s="444" t="s">
        <v>2881</v>
      </c>
      <c r="C492" s="444" t="s">
        <v>2652</v>
      </c>
      <c r="D492" s="445">
        <f t="shared" si="7"/>
        <v>4.9000000000000004</v>
      </c>
      <c r="E492" s="446">
        <v>4900</v>
      </c>
    </row>
    <row r="493" spans="1:5" ht="12.9" customHeight="1">
      <c r="A493" s="1103"/>
      <c r="B493" s="444"/>
      <c r="C493" s="444" t="s">
        <v>2638</v>
      </c>
      <c r="D493" s="445">
        <f t="shared" si="7"/>
        <v>240</v>
      </c>
      <c r="E493" s="446">
        <v>240000</v>
      </c>
    </row>
    <row r="494" spans="1:5" ht="12.9" customHeight="1">
      <c r="A494" s="1104"/>
      <c r="B494" s="444" t="s">
        <v>2882</v>
      </c>
      <c r="C494" s="444" t="s">
        <v>2638</v>
      </c>
      <c r="D494" s="445">
        <f t="shared" si="7"/>
        <v>250</v>
      </c>
      <c r="E494" s="446">
        <v>250000</v>
      </c>
    </row>
    <row r="495" spans="1:5" ht="12.9" customHeight="1">
      <c r="A495" s="1093" t="s">
        <v>2870</v>
      </c>
      <c r="B495" s="444" t="s">
        <v>2883</v>
      </c>
      <c r="C495" s="444" t="s">
        <v>2638</v>
      </c>
      <c r="D495" s="445">
        <f t="shared" si="7"/>
        <v>120</v>
      </c>
      <c r="E495" s="446">
        <v>120000</v>
      </c>
    </row>
    <row r="496" spans="1:5" ht="12.9" customHeight="1">
      <c r="A496" s="1094"/>
      <c r="B496" s="444" t="s">
        <v>2884</v>
      </c>
      <c r="C496" s="444" t="s">
        <v>2641</v>
      </c>
      <c r="D496" s="445">
        <f t="shared" si="7"/>
        <v>4.68</v>
      </c>
      <c r="E496" s="446">
        <v>4680</v>
      </c>
    </row>
    <row r="497" spans="1:5" ht="12.9" customHeight="1">
      <c r="A497" s="1094"/>
      <c r="B497" s="444" t="s">
        <v>2885</v>
      </c>
      <c r="C497" s="444" t="s">
        <v>2639</v>
      </c>
      <c r="D497" s="445">
        <f t="shared" si="7"/>
        <v>30</v>
      </c>
      <c r="E497" s="446">
        <v>30000</v>
      </c>
    </row>
    <row r="498" spans="1:5" ht="12.9" customHeight="1">
      <c r="A498" s="1094"/>
      <c r="B498" s="444" t="s">
        <v>2886</v>
      </c>
      <c r="C498" s="444" t="s">
        <v>2641</v>
      </c>
      <c r="D498" s="445">
        <f t="shared" si="7"/>
        <v>29.372</v>
      </c>
      <c r="E498" s="446">
        <v>29372</v>
      </c>
    </row>
    <row r="499" spans="1:5" ht="12.9" customHeight="1">
      <c r="A499" s="1094"/>
      <c r="B499" s="444"/>
      <c r="C499" s="444" t="s">
        <v>2662</v>
      </c>
      <c r="D499" s="445">
        <f t="shared" si="7"/>
        <v>20.25</v>
      </c>
      <c r="E499" s="446">
        <v>20250</v>
      </c>
    </row>
    <row r="500" spans="1:5" ht="12.9" customHeight="1">
      <c r="A500" s="1094"/>
      <c r="B500" s="444"/>
      <c r="C500" s="444" t="s">
        <v>2638</v>
      </c>
      <c r="D500" s="445">
        <f t="shared" si="7"/>
        <v>300</v>
      </c>
      <c r="E500" s="446">
        <v>300000</v>
      </c>
    </row>
    <row r="501" spans="1:5" ht="12.9" customHeight="1">
      <c r="A501" s="1094"/>
      <c r="B501" s="444" t="s">
        <v>2621</v>
      </c>
      <c r="C501" s="444" t="s">
        <v>2641</v>
      </c>
      <c r="D501" s="445">
        <f t="shared" si="7"/>
        <v>124.28</v>
      </c>
      <c r="E501" s="446">
        <v>124280</v>
      </c>
    </row>
    <row r="502" spans="1:5" ht="12.9" customHeight="1">
      <c r="A502" s="1094"/>
      <c r="B502" s="444"/>
      <c r="C502" s="444" t="s">
        <v>2650</v>
      </c>
      <c r="D502" s="445">
        <f t="shared" si="7"/>
        <v>1500</v>
      </c>
      <c r="E502" s="446">
        <v>1500000</v>
      </c>
    </row>
    <row r="503" spans="1:5" ht="12.9" customHeight="1">
      <c r="A503" s="1094"/>
      <c r="B503" s="444"/>
      <c r="C503" s="444" t="s">
        <v>2643</v>
      </c>
      <c r="D503" s="445">
        <f t="shared" si="7"/>
        <v>40</v>
      </c>
      <c r="E503" s="446">
        <v>40000</v>
      </c>
    </row>
    <row r="504" spans="1:5" ht="12.9" customHeight="1">
      <c r="A504" s="1094"/>
      <c r="B504" s="444"/>
      <c r="C504" s="444" t="s">
        <v>2670</v>
      </c>
      <c r="D504" s="445">
        <f t="shared" si="7"/>
        <v>10</v>
      </c>
      <c r="E504" s="446">
        <v>10000</v>
      </c>
    </row>
    <row r="505" spans="1:5" ht="12.9" customHeight="1">
      <c r="A505" s="1094"/>
      <c r="B505" s="444" t="s">
        <v>2887</v>
      </c>
      <c r="C505" s="444" t="s">
        <v>2641</v>
      </c>
      <c r="D505" s="445">
        <f t="shared" si="7"/>
        <v>15.48</v>
      </c>
      <c r="E505" s="446">
        <v>15480</v>
      </c>
    </row>
    <row r="506" spans="1:5" ht="12.9" customHeight="1">
      <c r="A506" s="1094"/>
      <c r="B506" s="444"/>
      <c r="C506" s="444" t="s">
        <v>2638</v>
      </c>
      <c r="D506" s="445">
        <f t="shared" si="7"/>
        <v>300</v>
      </c>
      <c r="E506" s="446">
        <v>300000</v>
      </c>
    </row>
    <row r="507" spans="1:5" ht="12.9" customHeight="1">
      <c r="A507" s="1094"/>
      <c r="B507" s="444"/>
      <c r="C507" s="444" t="s">
        <v>2639</v>
      </c>
      <c r="D507" s="445">
        <f t="shared" si="7"/>
        <v>90</v>
      </c>
      <c r="E507" s="446">
        <v>90000</v>
      </c>
    </row>
    <row r="508" spans="1:5" ht="12.9" customHeight="1">
      <c r="A508" s="1094"/>
      <c r="B508" s="444" t="s">
        <v>2888</v>
      </c>
      <c r="C508" s="444" t="s">
        <v>2641</v>
      </c>
      <c r="D508" s="445">
        <f t="shared" si="7"/>
        <v>12.34</v>
      </c>
      <c r="E508" s="446">
        <v>12340</v>
      </c>
    </row>
    <row r="509" spans="1:5" ht="12.9" customHeight="1">
      <c r="A509" s="1094"/>
      <c r="B509" s="444"/>
      <c r="C509" s="444" t="s">
        <v>2638</v>
      </c>
      <c r="D509" s="445">
        <f t="shared" si="7"/>
        <v>250</v>
      </c>
      <c r="E509" s="446">
        <v>250000</v>
      </c>
    </row>
    <row r="510" spans="1:5" ht="12.9" customHeight="1">
      <c r="A510" s="1094"/>
      <c r="B510" s="444" t="s">
        <v>2802</v>
      </c>
      <c r="C510" s="444" t="s">
        <v>2641</v>
      </c>
      <c r="D510" s="445">
        <f t="shared" si="7"/>
        <v>47.5</v>
      </c>
      <c r="E510" s="446">
        <v>47500</v>
      </c>
    </row>
    <row r="511" spans="1:5" ht="12.9" customHeight="1">
      <c r="A511" s="1094"/>
      <c r="B511" s="444" t="s">
        <v>2889</v>
      </c>
      <c r="C511" s="444" t="s">
        <v>2641</v>
      </c>
      <c r="D511" s="445">
        <f t="shared" si="7"/>
        <v>5.09</v>
      </c>
      <c r="E511" s="446">
        <v>5090</v>
      </c>
    </row>
    <row r="512" spans="1:5" ht="12.9" customHeight="1">
      <c r="A512" s="1094"/>
      <c r="B512" s="444"/>
      <c r="C512" s="444" t="s">
        <v>2638</v>
      </c>
      <c r="D512" s="445">
        <f t="shared" si="7"/>
        <v>120</v>
      </c>
      <c r="E512" s="446">
        <v>120000</v>
      </c>
    </row>
    <row r="513" spans="1:5" ht="12.9" customHeight="1">
      <c r="A513" s="1094"/>
      <c r="B513" s="444" t="s">
        <v>2622</v>
      </c>
      <c r="C513" s="444" t="s">
        <v>2641</v>
      </c>
      <c r="D513" s="445">
        <f t="shared" si="7"/>
        <v>19.36</v>
      </c>
      <c r="E513" s="446">
        <v>19360</v>
      </c>
    </row>
    <row r="514" spans="1:5" ht="12.9" customHeight="1">
      <c r="A514" s="1094"/>
      <c r="B514" s="444"/>
      <c r="C514" s="444" t="s">
        <v>2652</v>
      </c>
      <c r="D514" s="445">
        <f t="shared" si="7"/>
        <v>18.5</v>
      </c>
      <c r="E514" s="446">
        <v>18500</v>
      </c>
    </row>
    <row r="515" spans="1:5" ht="12.9" customHeight="1">
      <c r="A515" s="1094"/>
      <c r="B515" s="444" t="s">
        <v>2890</v>
      </c>
      <c r="C515" s="444" t="s">
        <v>2641</v>
      </c>
      <c r="D515" s="445">
        <f t="shared" si="7"/>
        <v>65.040000000000006</v>
      </c>
      <c r="E515" s="446">
        <v>65040</v>
      </c>
    </row>
    <row r="516" spans="1:5" ht="12.9" customHeight="1">
      <c r="A516" s="1094"/>
      <c r="B516" s="444"/>
      <c r="C516" s="444" t="s">
        <v>2665</v>
      </c>
      <c r="D516" s="445">
        <f t="shared" si="7"/>
        <v>50</v>
      </c>
      <c r="E516" s="446">
        <v>50000</v>
      </c>
    </row>
    <row r="517" spans="1:5" ht="12.9" customHeight="1">
      <c r="A517" s="1094"/>
      <c r="B517" s="444"/>
      <c r="C517" s="444" t="s">
        <v>2638</v>
      </c>
      <c r="D517" s="445">
        <f t="shared" si="7"/>
        <v>100</v>
      </c>
      <c r="E517" s="446">
        <v>100000</v>
      </c>
    </row>
    <row r="518" spans="1:5" ht="12.9" customHeight="1">
      <c r="A518" s="1094"/>
      <c r="B518" s="444" t="s">
        <v>2891</v>
      </c>
      <c r="C518" s="444" t="s">
        <v>2641</v>
      </c>
      <c r="D518" s="445">
        <f t="shared" ref="D518:D581" si="8">E518/1000</f>
        <v>209.23</v>
      </c>
      <c r="E518" s="446">
        <v>209230</v>
      </c>
    </row>
    <row r="519" spans="1:5" ht="12.9" customHeight="1">
      <c r="A519" s="1094"/>
      <c r="B519" s="444"/>
      <c r="C519" s="444" t="s">
        <v>2638</v>
      </c>
      <c r="D519" s="445">
        <f t="shared" si="8"/>
        <v>130</v>
      </c>
      <c r="E519" s="446">
        <v>130000</v>
      </c>
    </row>
    <row r="520" spans="1:5" ht="12.9" customHeight="1">
      <c r="A520" s="1094"/>
      <c r="B520" s="444" t="s">
        <v>2892</v>
      </c>
      <c r="C520" s="444" t="s">
        <v>2638</v>
      </c>
      <c r="D520" s="445">
        <f t="shared" si="8"/>
        <v>300</v>
      </c>
      <c r="E520" s="446">
        <v>300000</v>
      </c>
    </row>
    <row r="521" spans="1:5" ht="12.9" customHeight="1">
      <c r="A521" s="1094"/>
      <c r="B521" s="444" t="s">
        <v>2893</v>
      </c>
      <c r="C521" s="444" t="s">
        <v>2641</v>
      </c>
      <c r="D521" s="445">
        <f t="shared" si="8"/>
        <v>197.54</v>
      </c>
      <c r="E521" s="446">
        <v>197540</v>
      </c>
    </row>
    <row r="522" spans="1:5" ht="12.9" customHeight="1">
      <c r="A522" s="1094"/>
      <c r="B522" s="444"/>
      <c r="C522" s="444" t="s">
        <v>2652</v>
      </c>
      <c r="D522" s="445">
        <f t="shared" si="8"/>
        <v>30</v>
      </c>
      <c r="E522" s="446">
        <v>30000</v>
      </c>
    </row>
    <row r="523" spans="1:5" ht="12.9" customHeight="1">
      <c r="A523" s="1094"/>
      <c r="B523" s="444"/>
      <c r="C523" s="444" t="s">
        <v>2638</v>
      </c>
      <c r="D523" s="445">
        <f t="shared" si="8"/>
        <v>250</v>
      </c>
      <c r="E523" s="446">
        <v>250000</v>
      </c>
    </row>
    <row r="524" spans="1:5" ht="12.9" customHeight="1">
      <c r="A524" s="1094"/>
      <c r="B524" s="444"/>
      <c r="C524" s="444" t="s">
        <v>2654</v>
      </c>
      <c r="D524" s="445">
        <f t="shared" si="8"/>
        <v>60</v>
      </c>
      <c r="E524" s="446">
        <v>60000</v>
      </c>
    </row>
    <row r="525" spans="1:5" ht="12.9" customHeight="1">
      <c r="A525" s="1094"/>
      <c r="B525" s="444" t="s">
        <v>2894</v>
      </c>
      <c r="C525" s="444" t="s">
        <v>2641</v>
      </c>
      <c r="D525" s="445">
        <f t="shared" si="8"/>
        <v>7.49</v>
      </c>
      <c r="E525" s="446">
        <v>7490</v>
      </c>
    </row>
    <row r="526" spans="1:5" ht="12.9" customHeight="1">
      <c r="A526" s="1094"/>
      <c r="B526" s="444"/>
      <c r="C526" s="444" t="s">
        <v>2638</v>
      </c>
      <c r="D526" s="445">
        <f t="shared" si="8"/>
        <v>100</v>
      </c>
      <c r="E526" s="446">
        <v>100000</v>
      </c>
    </row>
    <row r="527" spans="1:5" ht="12.9" customHeight="1">
      <c r="A527" s="1094"/>
      <c r="B527" s="444" t="s">
        <v>2623</v>
      </c>
      <c r="C527" s="444" t="s">
        <v>2641</v>
      </c>
      <c r="D527" s="445">
        <f t="shared" si="8"/>
        <v>22.027999999999999</v>
      </c>
      <c r="E527" s="446">
        <v>22028</v>
      </c>
    </row>
    <row r="528" spans="1:5" ht="12.9" customHeight="1">
      <c r="A528" s="1094"/>
      <c r="B528" s="444"/>
      <c r="C528" s="444" t="s">
        <v>2639</v>
      </c>
      <c r="D528" s="445">
        <f t="shared" si="8"/>
        <v>160</v>
      </c>
      <c r="E528" s="446">
        <v>160000</v>
      </c>
    </row>
    <row r="529" spans="1:5" ht="12.9" customHeight="1">
      <c r="A529" s="1094"/>
      <c r="B529" s="444"/>
      <c r="C529" s="444" t="s">
        <v>2653</v>
      </c>
      <c r="D529" s="445">
        <f t="shared" si="8"/>
        <v>222</v>
      </c>
      <c r="E529" s="446">
        <v>222000</v>
      </c>
    </row>
    <row r="530" spans="1:5" ht="12.9" customHeight="1">
      <c r="A530" s="1094"/>
      <c r="B530" s="444" t="s">
        <v>2895</v>
      </c>
      <c r="C530" s="444" t="s">
        <v>2641</v>
      </c>
      <c r="D530" s="445">
        <f t="shared" si="8"/>
        <v>13.9</v>
      </c>
      <c r="E530" s="446">
        <v>13900</v>
      </c>
    </row>
    <row r="531" spans="1:5" ht="12.9" customHeight="1">
      <c r="A531" s="1094"/>
      <c r="B531" s="444" t="s">
        <v>2896</v>
      </c>
      <c r="C531" s="444" t="s">
        <v>2638</v>
      </c>
      <c r="D531" s="445">
        <f t="shared" si="8"/>
        <v>450</v>
      </c>
      <c r="E531" s="446">
        <v>450000</v>
      </c>
    </row>
    <row r="532" spans="1:5" ht="12.9" customHeight="1">
      <c r="A532" s="1095"/>
      <c r="B532" s="444" t="s">
        <v>2897</v>
      </c>
      <c r="C532" s="444" t="s">
        <v>2679</v>
      </c>
      <c r="D532" s="445">
        <f t="shared" si="8"/>
        <v>50</v>
      </c>
      <c r="E532" s="446">
        <v>50000</v>
      </c>
    </row>
    <row r="533" spans="1:5" ht="12.9" customHeight="1">
      <c r="A533" s="1093" t="s">
        <v>2870</v>
      </c>
      <c r="B533" s="444" t="s">
        <v>2897</v>
      </c>
      <c r="C533" s="444" t="s">
        <v>2638</v>
      </c>
      <c r="D533" s="445">
        <f t="shared" si="8"/>
        <v>200</v>
      </c>
      <c r="E533" s="446">
        <v>200000</v>
      </c>
    </row>
    <row r="534" spans="1:5" ht="12.9" customHeight="1">
      <c r="A534" s="1094"/>
      <c r="B534" s="444" t="s">
        <v>2898</v>
      </c>
      <c r="C534" s="444" t="s">
        <v>2641</v>
      </c>
      <c r="D534" s="445">
        <f t="shared" si="8"/>
        <v>64.805000000000007</v>
      </c>
      <c r="E534" s="446">
        <v>64805</v>
      </c>
    </row>
    <row r="535" spans="1:5" ht="12.9" customHeight="1">
      <c r="A535" s="1094"/>
      <c r="B535" s="444"/>
      <c r="C535" s="444" t="s">
        <v>2652</v>
      </c>
      <c r="D535" s="445">
        <f t="shared" si="8"/>
        <v>12.9</v>
      </c>
      <c r="E535" s="446">
        <v>12900</v>
      </c>
    </row>
    <row r="536" spans="1:5" ht="12.9" customHeight="1">
      <c r="A536" s="1094"/>
      <c r="B536" s="444"/>
      <c r="C536" s="444" t="s">
        <v>2638</v>
      </c>
      <c r="D536" s="445">
        <f t="shared" si="8"/>
        <v>250</v>
      </c>
      <c r="E536" s="446">
        <v>250000</v>
      </c>
    </row>
    <row r="537" spans="1:5" ht="12.9" customHeight="1">
      <c r="A537" s="1094"/>
      <c r="B537" s="444" t="s">
        <v>2899</v>
      </c>
      <c r="C537" s="444" t="s">
        <v>2641</v>
      </c>
      <c r="D537" s="445">
        <f t="shared" si="8"/>
        <v>4.95</v>
      </c>
      <c r="E537" s="446">
        <v>4950</v>
      </c>
    </row>
    <row r="538" spans="1:5" ht="12.9" customHeight="1">
      <c r="A538" s="1094"/>
      <c r="B538" s="444"/>
      <c r="C538" s="444" t="s">
        <v>2638</v>
      </c>
      <c r="D538" s="445">
        <f t="shared" si="8"/>
        <v>130</v>
      </c>
      <c r="E538" s="446">
        <v>130000</v>
      </c>
    </row>
    <row r="539" spans="1:5" ht="12.9" customHeight="1">
      <c r="A539" s="1094"/>
      <c r="B539" s="444" t="s">
        <v>2900</v>
      </c>
      <c r="C539" s="444" t="s">
        <v>2641</v>
      </c>
      <c r="D539" s="445">
        <f t="shared" si="8"/>
        <v>144.4</v>
      </c>
      <c r="E539" s="446">
        <v>144400</v>
      </c>
    </row>
    <row r="540" spans="1:5" ht="12.9" customHeight="1">
      <c r="A540" s="1094"/>
      <c r="B540" s="444"/>
      <c r="C540" s="444" t="s">
        <v>2652</v>
      </c>
      <c r="D540" s="445">
        <f t="shared" si="8"/>
        <v>43.8</v>
      </c>
      <c r="E540" s="446">
        <v>43800</v>
      </c>
    </row>
    <row r="541" spans="1:5" ht="12.9" customHeight="1">
      <c r="A541" s="1094"/>
      <c r="B541" s="444" t="s">
        <v>2901</v>
      </c>
      <c r="C541" s="444" t="s">
        <v>2641</v>
      </c>
      <c r="D541" s="445">
        <f t="shared" si="8"/>
        <v>26.974</v>
      </c>
      <c r="E541" s="446">
        <v>26974</v>
      </c>
    </row>
    <row r="542" spans="1:5" ht="12.9" customHeight="1">
      <c r="A542" s="1094"/>
      <c r="B542" s="444"/>
      <c r="C542" s="444" t="s">
        <v>2638</v>
      </c>
      <c r="D542" s="445">
        <f t="shared" si="8"/>
        <v>200</v>
      </c>
      <c r="E542" s="446">
        <v>200000</v>
      </c>
    </row>
    <row r="543" spans="1:5" ht="12.9" customHeight="1">
      <c r="A543" s="1094"/>
      <c r="B543" s="444" t="s">
        <v>2902</v>
      </c>
      <c r="C543" s="444" t="s">
        <v>2641</v>
      </c>
      <c r="D543" s="445">
        <f t="shared" si="8"/>
        <v>42.62</v>
      </c>
      <c r="E543" s="446">
        <v>42620</v>
      </c>
    </row>
    <row r="544" spans="1:5" ht="12.9" customHeight="1">
      <c r="A544" s="1094"/>
      <c r="B544" s="444" t="s">
        <v>2903</v>
      </c>
      <c r="C544" s="444" t="s">
        <v>2641</v>
      </c>
      <c r="D544" s="445">
        <f t="shared" si="8"/>
        <v>304.03800000000001</v>
      </c>
      <c r="E544" s="446">
        <v>304038</v>
      </c>
    </row>
    <row r="545" spans="1:5" ht="12.9" customHeight="1">
      <c r="A545" s="1094"/>
      <c r="B545" s="444"/>
      <c r="C545" s="444" t="s">
        <v>2652</v>
      </c>
      <c r="D545" s="445">
        <f t="shared" si="8"/>
        <v>57.7</v>
      </c>
      <c r="E545" s="446">
        <v>57700</v>
      </c>
    </row>
    <row r="546" spans="1:5" ht="12.9" customHeight="1">
      <c r="A546" s="1094"/>
      <c r="B546" s="444"/>
      <c r="C546" s="444" t="s">
        <v>2638</v>
      </c>
      <c r="D546" s="445">
        <f t="shared" si="8"/>
        <v>300</v>
      </c>
      <c r="E546" s="446">
        <v>300000</v>
      </c>
    </row>
    <row r="547" spans="1:5" ht="12.9" customHeight="1">
      <c r="A547" s="1094"/>
      <c r="B547" s="444"/>
      <c r="C547" s="444" t="s">
        <v>2653</v>
      </c>
      <c r="D547" s="445">
        <f t="shared" si="8"/>
        <v>113</v>
      </c>
      <c r="E547" s="446">
        <v>113000</v>
      </c>
    </row>
    <row r="548" spans="1:5" ht="12.9" customHeight="1">
      <c r="A548" s="1094"/>
      <c r="B548" s="444" t="s">
        <v>2904</v>
      </c>
      <c r="C548" s="444" t="s">
        <v>2641</v>
      </c>
      <c r="D548" s="445">
        <f t="shared" si="8"/>
        <v>9</v>
      </c>
      <c r="E548" s="446">
        <v>9000</v>
      </c>
    </row>
    <row r="549" spans="1:5" ht="12.9" customHeight="1">
      <c r="A549" s="1094"/>
      <c r="B549" s="444"/>
      <c r="C549" s="444" t="s">
        <v>2645</v>
      </c>
      <c r="D549" s="445">
        <f t="shared" si="8"/>
        <v>10</v>
      </c>
      <c r="E549" s="446">
        <v>10000</v>
      </c>
    </row>
    <row r="550" spans="1:5" ht="12.9" customHeight="1">
      <c r="A550" s="1094"/>
      <c r="B550" s="444"/>
      <c r="C550" s="444" t="s">
        <v>2638</v>
      </c>
      <c r="D550" s="445">
        <f t="shared" si="8"/>
        <v>100</v>
      </c>
      <c r="E550" s="446">
        <v>100000</v>
      </c>
    </row>
    <row r="551" spans="1:5" ht="12.9" customHeight="1">
      <c r="A551" s="1094"/>
      <c r="B551" s="444"/>
      <c r="C551" s="444" t="s">
        <v>2663</v>
      </c>
      <c r="D551" s="445">
        <f t="shared" si="8"/>
        <v>190</v>
      </c>
      <c r="E551" s="446">
        <v>190000</v>
      </c>
    </row>
    <row r="552" spans="1:5" ht="12.9" customHeight="1">
      <c r="A552" s="1094"/>
      <c r="B552" s="444" t="s">
        <v>2905</v>
      </c>
      <c r="C552" s="444" t="s">
        <v>2641</v>
      </c>
      <c r="D552" s="445">
        <f t="shared" si="8"/>
        <v>19.32</v>
      </c>
      <c r="E552" s="446">
        <v>19320</v>
      </c>
    </row>
    <row r="553" spans="1:5" ht="12.9" customHeight="1">
      <c r="A553" s="1094"/>
      <c r="B553" s="444" t="s">
        <v>2906</v>
      </c>
      <c r="C553" s="444" t="s">
        <v>2670</v>
      </c>
      <c r="D553" s="445">
        <f t="shared" si="8"/>
        <v>5</v>
      </c>
      <c r="E553" s="446">
        <v>5000</v>
      </c>
    </row>
    <row r="554" spans="1:5" ht="12.9" customHeight="1">
      <c r="A554" s="1094"/>
      <c r="B554" s="444"/>
      <c r="C554" s="444" t="s">
        <v>2652</v>
      </c>
      <c r="D554" s="445">
        <f t="shared" si="8"/>
        <v>769.2</v>
      </c>
      <c r="E554" s="446">
        <v>769200</v>
      </c>
    </row>
    <row r="555" spans="1:5" ht="12.9" customHeight="1">
      <c r="A555" s="1094"/>
      <c r="B555" s="444"/>
      <c r="C555" s="444" t="s">
        <v>2638</v>
      </c>
      <c r="D555" s="445">
        <f t="shared" si="8"/>
        <v>151</v>
      </c>
      <c r="E555" s="446">
        <v>151000</v>
      </c>
    </row>
    <row r="556" spans="1:5" ht="12.9" customHeight="1">
      <c r="A556" s="1094"/>
      <c r="B556" s="444" t="s">
        <v>2907</v>
      </c>
      <c r="C556" s="444" t="s">
        <v>2657</v>
      </c>
      <c r="D556" s="445">
        <f t="shared" si="8"/>
        <v>70</v>
      </c>
      <c r="E556" s="446">
        <v>70000</v>
      </c>
    </row>
    <row r="557" spans="1:5" ht="12.9" customHeight="1">
      <c r="A557" s="1094"/>
      <c r="B557" s="444"/>
      <c r="C557" s="444" t="s">
        <v>2641</v>
      </c>
      <c r="D557" s="445">
        <f t="shared" si="8"/>
        <v>16.059999999999999</v>
      </c>
      <c r="E557" s="446">
        <v>16060</v>
      </c>
    </row>
    <row r="558" spans="1:5" ht="12.9" customHeight="1">
      <c r="A558" s="1094"/>
      <c r="B558" s="444" t="s">
        <v>2908</v>
      </c>
      <c r="C558" s="444" t="s">
        <v>2641</v>
      </c>
      <c r="D558" s="445">
        <f t="shared" si="8"/>
        <v>34.1</v>
      </c>
      <c r="E558" s="446">
        <v>34100</v>
      </c>
    </row>
    <row r="559" spans="1:5" ht="12.9" customHeight="1">
      <c r="A559" s="1094"/>
      <c r="B559" s="444"/>
      <c r="C559" s="444" t="s">
        <v>2638</v>
      </c>
      <c r="D559" s="445">
        <f t="shared" si="8"/>
        <v>150</v>
      </c>
      <c r="E559" s="446">
        <v>150000</v>
      </c>
    </row>
    <row r="560" spans="1:5" ht="12.9" customHeight="1">
      <c r="A560" s="1094"/>
      <c r="B560" s="444" t="s">
        <v>2909</v>
      </c>
      <c r="C560" s="444" t="s">
        <v>2641</v>
      </c>
      <c r="D560" s="445">
        <f t="shared" si="8"/>
        <v>27.3</v>
      </c>
      <c r="E560" s="446">
        <v>27300</v>
      </c>
    </row>
    <row r="561" spans="1:5" ht="12.9" customHeight="1">
      <c r="A561" s="1094"/>
      <c r="B561" s="444"/>
      <c r="C561" s="444" t="s">
        <v>2638</v>
      </c>
      <c r="D561" s="445">
        <f t="shared" si="8"/>
        <v>100</v>
      </c>
      <c r="E561" s="446">
        <v>100000</v>
      </c>
    </row>
    <row r="562" spans="1:5" ht="12.9" customHeight="1">
      <c r="A562" s="1094"/>
      <c r="B562" s="444" t="s">
        <v>2910</v>
      </c>
      <c r="C562" s="444" t="s">
        <v>2641</v>
      </c>
      <c r="D562" s="445">
        <f t="shared" si="8"/>
        <v>148.452</v>
      </c>
      <c r="E562" s="446">
        <v>148452</v>
      </c>
    </row>
    <row r="563" spans="1:5" ht="12.9" customHeight="1">
      <c r="A563" s="1094"/>
      <c r="B563" s="444" t="s">
        <v>2911</v>
      </c>
      <c r="C563" s="444" t="s">
        <v>2641</v>
      </c>
      <c r="D563" s="445">
        <f t="shared" si="8"/>
        <v>23.44</v>
      </c>
      <c r="E563" s="446">
        <v>23440</v>
      </c>
    </row>
    <row r="564" spans="1:5" ht="12.9" customHeight="1">
      <c r="A564" s="1094"/>
      <c r="B564" s="444"/>
      <c r="C564" s="444" t="s">
        <v>2638</v>
      </c>
      <c r="D564" s="445">
        <f t="shared" si="8"/>
        <v>250</v>
      </c>
      <c r="E564" s="446">
        <v>250000</v>
      </c>
    </row>
    <row r="565" spans="1:5" ht="12.9" customHeight="1">
      <c r="A565" s="1094"/>
      <c r="B565" s="444" t="s">
        <v>2912</v>
      </c>
      <c r="C565" s="444" t="s">
        <v>2638</v>
      </c>
      <c r="D565" s="445">
        <f t="shared" si="8"/>
        <v>120</v>
      </c>
      <c r="E565" s="446">
        <v>120000</v>
      </c>
    </row>
    <row r="566" spans="1:5" ht="12.9" customHeight="1">
      <c r="A566" s="1094"/>
      <c r="B566" s="444" t="s">
        <v>2913</v>
      </c>
      <c r="C566" s="444" t="s">
        <v>2641</v>
      </c>
      <c r="D566" s="445">
        <f t="shared" si="8"/>
        <v>104.25</v>
      </c>
      <c r="E566" s="446">
        <v>104250</v>
      </c>
    </row>
    <row r="567" spans="1:5" ht="12.9" customHeight="1">
      <c r="A567" s="1094"/>
      <c r="B567" s="444" t="s">
        <v>2914</v>
      </c>
      <c r="C567" s="444" t="s">
        <v>2641</v>
      </c>
      <c r="D567" s="445">
        <f t="shared" si="8"/>
        <v>149.97499999999999</v>
      </c>
      <c r="E567" s="446">
        <v>149975</v>
      </c>
    </row>
    <row r="568" spans="1:5" ht="12.9" customHeight="1">
      <c r="A568" s="1094"/>
      <c r="B568" s="444"/>
      <c r="C568" s="444" t="s">
        <v>2638</v>
      </c>
      <c r="D568" s="445">
        <f t="shared" si="8"/>
        <v>177</v>
      </c>
      <c r="E568" s="446">
        <v>177000</v>
      </c>
    </row>
    <row r="569" spans="1:5" ht="12.9" customHeight="1">
      <c r="A569" s="1094"/>
      <c r="B569" s="444" t="s">
        <v>2624</v>
      </c>
      <c r="C569" s="444" t="s">
        <v>2641</v>
      </c>
      <c r="D569" s="445">
        <f t="shared" si="8"/>
        <v>163.887</v>
      </c>
      <c r="E569" s="446">
        <v>163887</v>
      </c>
    </row>
    <row r="570" spans="1:5" ht="12.9" customHeight="1">
      <c r="A570" s="1095"/>
      <c r="B570" s="444"/>
      <c r="C570" s="444" t="s">
        <v>2645</v>
      </c>
      <c r="D570" s="445">
        <f t="shared" si="8"/>
        <v>10</v>
      </c>
      <c r="E570" s="446">
        <v>10000</v>
      </c>
    </row>
    <row r="571" spans="1:5" ht="12.9" customHeight="1">
      <c r="A571" s="1093" t="s">
        <v>2870</v>
      </c>
      <c r="B571" s="444" t="s">
        <v>2624</v>
      </c>
      <c r="C571" s="444" t="s">
        <v>2638</v>
      </c>
      <c r="D571" s="445">
        <f t="shared" si="8"/>
        <v>150</v>
      </c>
      <c r="E571" s="446">
        <v>150000</v>
      </c>
    </row>
    <row r="572" spans="1:5" ht="12.9" customHeight="1">
      <c r="A572" s="1094"/>
      <c r="B572" s="444"/>
      <c r="C572" s="444" t="s">
        <v>2639</v>
      </c>
      <c r="D572" s="445">
        <f t="shared" si="8"/>
        <v>350</v>
      </c>
      <c r="E572" s="446">
        <v>350000</v>
      </c>
    </row>
    <row r="573" spans="1:5" ht="12.9" customHeight="1">
      <c r="A573" s="1094"/>
      <c r="B573" s="444"/>
      <c r="C573" s="444" t="s">
        <v>2653</v>
      </c>
      <c r="D573" s="445">
        <f t="shared" si="8"/>
        <v>1099</v>
      </c>
      <c r="E573" s="446">
        <v>1099000</v>
      </c>
    </row>
    <row r="574" spans="1:5" ht="12.9" customHeight="1">
      <c r="A574" s="1094"/>
      <c r="B574" s="444" t="s">
        <v>2915</v>
      </c>
      <c r="C574" s="444" t="s">
        <v>2638</v>
      </c>
      <c r="D574" s="445">
        <f t="shared" si="8"/>
        <v>200</v>
      </c>
      <c r="E574" s="446">
        <v>200000</v>
      </c>
    </row>
    <row r="575" spans="1:5" ht="12.9" customHeight="1">
      <c r="A575" s="1094"/>
      <c r="B575" s="444" t="s">
        <v>2916</v>
      </c>
      <c r="C575" s="444" t="s">
        <v>2641</v>
      </c>
      <c r="D575" s="445">
        <f t="shared" si="8"/>
        <v>16.079999999999998</v>
      </c>
      <c r="E575" s="446">
        <v>16080</v>
      </c>
    </row>
    <row r="576" spans="1:5" ht="12.9" customHeight="1">
      <c r="A576" s="1094"/>
      <c r="B576" s="444"/>
      <c r="C576" s="444" t="s">
        <v>2638</v>
      </c>
      <c r="D576" s="445">
        <f t="shared" si="8"/>
        <v>100</v>
      </c>
      <c r="E576" s="446">
        <v>100000</v>
      </c>
    </row>
    <row r="577" spans="1:5" ht="12.9" customHeight="1">
      <c r="A577" s="1094"/>
      <c r="B577" s="444" t="s">
        <v>2917</v>
      </c>
      <c r="C577" s="444" t="s">
        <v>2641</v>
      </c>
      <c r="D577" s="445">
        <f t="shared" si="8"/>
        <v>28.35</v>
      </c>
      <c r="E577" s="446">
        <v>28350</v>
      </c>
    </row>
    <row r="578" spans="1:5" ht="12.9" customHeight="1">
      <c r="A578" s="1094"/>
      <c r="B578" s="444" t="s">
        <v>2918</v>
      </c>
      <c r="C578" s="444" t="s">
        <v>2641</v>
      </c>
      <c r="D578" s="445">
        <f t="shared" si="8"/>
        <v>25.686</v>
      </c>
      <c r="E578" s="446">
        <v>25686</v>
      </c>
    </row>
    <row r="579" spans="1:5" ht="12.9" customHeight="1">
      <c r="A579" s="1094"/>
      <c r="B579" s="444" t="s">
        <v>2919</v>
      </c>
      <c r="C579" s="444" t="s">
        <v>2641</v>
      </c>
      <c r="D579" s="445">
        <f t="shared" si="8"/>
        <v>10.48</v>
      </c>
      <c r="E579" s="446">
        <v>10480</v>
      </c>
    </row>
    <row r="580" spans="1:5" ht="12.9" customHeight="1">
      <c r="A580" s="1094"/>
      <c r="B580" s="444" t="s">
        <v>2764</v>
      </c>
      <c r="C580" s="444" t="s">
        <v>2641</v>
      </c>
      <c r="D580" s="445">
        <f t="shared" si="8"/>
        <v>11.7</v>
      </c>
      <c r="E580" s="446">
        <v>11700</v>
      </c>
    </row>
    <row r="581" spans="1:5" ht="12.9" customHeight="1">
      <c r="A581" s="1094"/>
      <c r="B581" s="444" t="s">
        <v>2920</v>
      </c>
      <c r="C581" s="444" t="s">
        <v>2641</v>
      </c>
      <c r="D581" s="445">
        <f t="shared" si="8"/>
        <v>6.4349999999999996</v>
      </c>
      <c r="E581" s="446">
        <v>6435</v>
      </c>
    </row>
    <row r="582" spans="1:5" ht="12.9" customHeight="1">
      <c r="A582" s="1094"/>
      <c r="B582" s="444" t="s">
        <v>2921</v>
      </c>
      <c r="C582" s="444" t="s">
        <v>2641</v>
      </c>
      <c r="D582" s="445">
        <f t="shared" ref="D582:D645" si="9">E582/1000</f>
        <v>49.576000000000001</v>
      </c>
      <c r="E582" s="446">
        <v>49576</v>
      </c>
    </row>
    <row r="583" spans="1:5" ht="12.9" customHeight="1">
      <c r="A583" s="1094"/>
      <c r="B583" s="444"/>
      <c r="C583" s="444" t="s">
        <v>2638</v>
      </c>
      <c r="D583" s="445">
        <f t="shared" si="9"/>
        <v>100</v>
      </c>
      <c r="E583" s="446">
        <v>100000</v>
      </c>
    </row>
    <row r="584" spans="1:5" ht="12.9" customHeight="1">
      <c r="A584" s="1094"/>
      <c r="B584" s="444" t="s">
        <v>2922</v>
      </c>
      <c r="C584" s="444" t="s">
        <v>2641</v>
      </c>
      <c r="D584" s="445">
        <f t="shared" si="9"/>
        <v>112.62</v>
      </c>
      <c r="E584" s="446">
        <v>112620</v>
      </c>
    </row>
    <row r="585" spans="1:5" ht="12.9" customHeight="1">
      <c r="A585" s="1094"/>
      <c r="B585" s="444"/>
      <c r="C585" s="444" t="s">
        <v>2638</v>
      </c>
      <c r="D585" s="445">
        <f t="shared" si="9"/>
        <v>100</v>
      </c>
      <c r="E585" s="446">
        <v>100000</v>
      </c>
    </row>
    <row r="586" spans="1:5" ht="12.9" customHeight="1">
      <c r="A586" s="1094"/>
      <c r="B586" s="444" t="s">
        <v>2923</v>
      </c>
      <c r="C586" s="444" t="s">
        <v>2652</v>
      </c>
      <c r="D586" s="445">
        <f t="shared" si="9"/>
        <v>45.4</v>
      </c>
      <c r="E586" s="446">
        <v>45400</v>
      </c>
    </row>
    <row r="587" spans="1:5" ht="12.9" customHeight="1">
      <c r="A587" s="1094"/>
      <c r="B587" s="444" t="s">
        <v>2924</v>
      </c>
      <c r="C587" s="444" t="s">
        <v>2646</v>
      </c>
      <c r="D587" s="445">
        <f t="shared" si="9"/>
        <v>1000</v>
      </c>
      <c r="E587" s="446">
        <v>1000000</v>
      </c>
    </row>
    <row r="588" spans="1:5" ht="12.9" customHeight="1">
      <c r="A588" s="1094"/>
      <c r="B588" s="444" t="s">
        <v>2625</v>
      </c>
      <c r="C588" s="444" t="s">
        <v>2645</v>
      </c>
      <c r="D588" s="445">
        <f t="shared" si="9"/>
        <v>10</v>
      </c>
      <c r="E588" s="446">
        <v>10000</v>
      </c>
    </row>
    <row r="589" spans="1:5" ht="12.9" customHeight="1">
      <c r="A589" s="1094"/>
      <c r="B589" s="444"/>
      <c r="C589" s="444" t="s">
        <v>2652</v>
      </c>
      <c r="D589" s="445">
        <f t="shared" si="9"/>
        <v>62.3</v>
      </c>
      <c r="E589" s="446">
        <v>62300</v>
      </c>
    </row>
    <row r="590" spans="1:5" ht="12.9" customHeight="1">
      <c r="A590" s="1094"/>
      <c r="B590" s="444" t="s">
        <v>2925</v>
      </c>
      <c r="C590" s="444" t="s">
        <v>2639</v>
      </c>
      <c r="D590" s="445">
        <f t="shared" si="9"/>
        <v>450</v>
      </c>
      <c r="E590" s="446">
        <v>450000</v>
      </c>
    </row>
    <row r="591" spans="1:5" ht="12.9" customHeight="1">
      <c r="A591" s="1094"/>
      <c r="B591" s="444" t="s">
        <v>2926</v>
      </c>
      <c r="C591" s="444" t="s">
        <v>2638</v>
      </c>
      <c r="D591" s="445">
        <f t="shared" si="9"/>
        <v>100</v>
      </c>
      <c r="E591" s="446">
        <v>100000</v>
      </c>
    </row>
    <row r="592" spans="1:5" ht="12.9" customHeight="1">
      <c r="A592" s="1094"/>
      <c r="B592" s="444" t="s">
        <v>2927</v>
      </c>
      <c r="C592" s="444" t="s">
        <v>2638</v>
      </c>
      <c r="D592" s="445">
        <f t="shared" si="9"/>
        <v>120</v>
      </c>
      <c r="E592" s="446">
        <v>120000</v>
      </c>
    </row>
    <row r="593" spans="1:5" ht="12.9" customHeight="1">
      <c r="A593" s="1094"/>
      <c r="B593" s="444" t="s">
        <v>2928</v>
      </c>
      <c r="C593" s="444" t="s">
        <v>2638</v>
      </c>
      <c r="D593" s="445">
        <f t="shared" si="9"/>
        <v>150</v>
      </c>
      <c r="E593" s="446">
        <v>150000</v>
      </c>
    </row>
    <row r="594" spans="1:5" ht="12.9" customHeight="1">
      <c r="A594" s="1094"/>
      <c r="B594" s="444" t="s">
        <v>2707</v>
      </c>
      <c r="C594" s="444" t="s">
        <v>2641</v>
      </c>
      <c r="D594" s="445">
        <f t="shared" si="9"/>
        <v>65.02</v>
      </c>
      <c r="E594" s="446">
        <v>65020</v>
      </c>
    </row>
    <row r="595" spans="1:5" ht="12.9" customHeight="1">
      <c r="A595" s="1094"/>
      <c r="B595" s="444"/>
      <c r="C595" s="444" t="s">
        <v>2652</v>
      </c>
      <c r="D595" s="445">
        <f t="shared" si="9"/>
        <v>26.7</v>
      </c>
      <c r="E595" s="446">
        <v>26700</v>
      </c>
    </row>
    <row r="596" spans="1:5" ht="12.9" customHeight="1">
      <c r="A596" s="1094"/>
      <c r="B596" s="444"/>
      <c r="C596" s="444" t="s">
        <v>2638</v>
      </c>
      <c r="D596" s="445">
        <f t="shared" si="9"/>
        <v>300</v>
      </c>
      <c r="E596" s="446">
        <v>300000</v>
      </c>
    </row>
    <row r="597" spans="1:5" ht="12.9" customHeight="1">
      <c r="A597" s="1094"/>
      <c r="B597" s="444" t="s">
        <v>2929</v>
      </c>
      <c r="C597" s="444" t="s">
        <v>2641</v>
      </c>
      <c r="D597" s="445">
        <f t="shared" si="9"/>
        <v>38.79</v>
      </c>
      <c r="E597" s="446">
        <v>38790</v>
      </c>
    </row>
    <row r="598" spans="1:5" ht="12.9" customHeight="1">
      <c r="A598" s="1094"/>
      <c r="B598" s="444" t="s">
        <v>2930</v>
      </c>
      <c r="C598" s="444" t="s">
        <v>2641</v>
      </c>
      <c r="D598" s="445">
        <f t="shared" si="9"/>
        <v>72.552000000000007</v>
      </c>
      <c r="E598" s="446">
        <v>72552</v>
      </c>
    </row>
    <row r="599" spans="1:5" ht="12.9" customHeight="1">
      <c r="A599" s="1094"/>
      <c r="B599" s="444" t="s">
        <v>2931</v>
      </c>
      <c r="C599" s="444" t="s">
        <v>2679</v>
      </c>
      <c r="D599" s="445">
        <f t="shared" si="9"/>
        <v>50</v>
      </c>
      <c r="E599" s="446">
        <v>50000</v>
      </c>
    </row>
    <row r="600" spans="1:5" ht="12.9" customHeight="1">
      <c r="A600" s="1094"/>
      <c r="B600" s="444" t="s">
        <v>2932</v>
      </c>
      <c r="C600" s="444" t="s">
        <v>2641</v>
      </c>
      <c r="D600" s="445">
        <f t="shared" si="9"/>
        <v>65.53</v>
      </c>
      <c r="E600" s="446">
        <v>65530</v>
      </c>
    </row>
    <row r="601" spans="1:5" ht="12.9" customHeight="1">
      <c r="A601" s="1094"/>
      <c r="B601" s="444"/>
      <c r="C601" s="444" t="s">
        <v>2652</v>
      </c>
      <c r="D601" s="445">
        <f t="shared" si="9"/>
        <v>8</v>
      </c>
      <c r="E601" s="446">
        <v>8000</v>
      </c>
    </row>
    <row r="602" spans="1:5" ht="12.9" customHeight="1">
      <c r="A602" s="1094"/>
      <c r="B602" s="444" t="s">
        <v>2933</v>
      </c>
      <c r="C602" s="444" t="s">
        <v>2641</v>
      </c>
      <c r="D602" s="445">
        <f t="shared" si="9"/>
        <v>28.744</v>
      </c>
      <c r="E602" s="446">
        <v>28744</v>
      </c>
    </row>
    <row r="603" spans="1:5" ht="12.9" customHeight="1">
      <c r="A603" s="1094"/>
      <c r="B603" s="444" t="s">
        <v>2934</v>
      </c>
      <c r="C603" s="444" t="s">
        <v>2641</v>
      </c>
      <c r="D603" s="445">
        <f t="shared" si="9"/>
        <v>80.884</v>
      </c>
      <c r="E603" s="446">
        <v>80884</v>
      </c>
    </row>
    <row r="604" spans="1:5" ht="12.9" customHeight="1">
      <c r="A604" s="1094"/>
      <c r="B604" s="444"/>
      <c r="C604" s="444" t="s">
        <v>2670</v>
      </c>
      <c r="D604" s="445">
        <f t="shared" si="9"/>
        <v>10</v>
      </c>
      <c r="E604" s="446">
        <v>10000</v>
      </c>
    </row>
    <row r="605" spans="1:5" ht="12.9" customHeight="1">
      <c r="A605" s="1094"/>
      <c r="B605" s="444"/>
      <c r="C605" s="444" t="s">
        <v>2652</v>
      </c>
      <c r="D605" s="445">
        <f t="shared" si="9"/>
        <v>150</v>
      </c>
      <c r="E605" s="446">
        <v>150000</v>
      </c>
    </row>
    <row r="606" spans="1:5" ht="12.9" customHeight="1">
      <c r="A606" s="1094"/>
      <c r="B606" s="444"/>
      <c r="C606" s="444" t="s">
        <v>2638</v>
      </c>
      <c r="D606" s="445">
        <f t="shared" si="9"/>
        <v>300</v>
      </c>
      <c r="E606" s="446">
        <v>300000</v>
      </c>
    </row>
    <row r="607" spans="1:5" ht="12.9" customHeight="1">
      <c r="A607" s="1094"/>
      <c r="B607" s="444"/>
      <c r="C607" s="444" t="s">
        <v>2639</v>
      </c>
      <c r="D607" s="445">
        <f t="shared" si="9"/>
        <v>195</v>
      </c>
      <c r="E607" s="446">
        <v>195000</v>
      </c>
    </row>
    <row r="608" spans="1:5" ht="12.9" customHeight="1">
      <c r="A608" s="1095"/>
      <c r="B608" s="444"/>
      <c r="C608" s="444" t="s">
        <v>2654</v>
      </c>
      <c r="D608" s="445">
        <f t="shared" si="9"/>
        <v>400</v>
      </c>
      <c r="E608" s="446">
        <v>400000</v>
      </c>
    </row>
    <row r="609" spans="1:5" ht="12.9" customHeight="1">
      <c r="A609" s="1093" t="s">
        <v>2870</v>
      </c>
      <c r="B609" s="444" t="s">
        <v>2935</v>
      </c>
      <c r="C609" s="444" t="s">
        <v>2641</v>
      </c>
      <c r="D609" s="445">
        <f t="shared" si="9"/>
        <v>35.299999999999997</v>
      </c>
      <c r="E609" s="446">
        <v>35300</v>
      </c>
    </row>
    <row r="610" spans="1:5" ht="12.9" customHeight="1">
      <c r="A610" s="1094"/>
      <c r="B610" s="444"/>
      <c r="C610" s="444" t="s">
        <v>2638</v>
      </c>
      <c r="D610" s="445">
        <f t="shared" si="9"/>
        <v>200</v>
      </c>
      <c r="E610" s="446">
        <v>200000</v>
      </c>
    </row>
    <row r="611" spans="1:5" ht="12.9" customHeight="1">
      <c r="A611" s="1094"/>
      <c r="B611" s="444" t="s">
        <v>2936</v>
      </c>
      <c r="C611" s="444" t="s">
        <v>2641</v>
      </c>
      <c r="D611" s="445">
        <f t="shared" si="9"/>
        <v>24.05</v>
      </c>
      <c r="E611" s="446">
        <v>24050</v>
      </c>
    </row>
    <row r="612" spans="1:5" ht="12.9" customHeight="1">
      <c r="A612" s="1094"/>
      <c r="B612" s="444"/>
      <c r="C612" s="444" t="s">
        <v>2646</v>
      </c>
      <c r="D612" s="445">
        <f t="shared" si="9"/>
        <v>1433</v>
      </c>
      <c r="E612" s="446">
        <v>1433000</v>
      </c>
    </row>
    <row r="613" spans="1:5" ht="12.9" customHeight="1">
      <c r="A613" s="1094"/>
      <c r="B613" s="444" t="s">
        <v>2937</v>
      </c>
      <c r="C613" s="444" t="s">
        <v>2639</v>
      </c>
      <c r="D613" s="445">
        <f t="shared" si="9"/>
        <v>100</v>
      </c>
      <c r="E613" s="446">
        <v>100000</v>
      </c>
    </row>
    <row r="614" spans="1:5" ht="12.9" customHeight="1">
      <c r="A614" s="1094"/>
      <c r="B614" s="444" t="s">
        <v>2938</v>
      </c>
      <c r="C614" s="444" t="s">
        <v>2641</v>
      </c>
      <c r="D614" s="445">
        <f t="shared" si="9"/>
        <v>104.52</v>
      </c>
      <c r="E614" s="446">
        <v>104520</v>
      </c>
    </row>
    <row r="615" spans="1:5" ht="12.9" customHeight="1">
      <c r="A615" s="1094"/>
      <c r="B615" s="444"/>
      <c r="C615" s="444" t="s">
        <v>2638</v>
      </c>
      <c r="D615" s="445">
        <f t="shared" si="9"/>
        <v>150</v>
      </c>
      <c r="E615" s="446">
        <v>150000</v>
      </c>
    </row>
    <row r="616" spans="1:5" ht="12.9" customHeight="1">
      <c r="A616" s="1094"/>
      <c r="B616" s="444" t="s">
        <v>2939</v>
      </c>
      <c r="C616" s="444" t="s">
        <v>2641</v>
      </c>
      <c r="D616" s="445">
        <f t="shared" si="9"/>
        <v>21</v>
      </c>
      <c r="E616" s="446">
        <v>21000</v>
      </c>
    </row>
    <row r="617" spans="1:5" ht="12.9" customHeight="1">
      <c r="A617" s="1094"/>
      <c r="B617" s="444" t="s">
        <v>2940</v>
      </c>
      <c r="C617" s="444" t="s">
        <v>2641</v>
      </c>
      <c r="D617" s="445">
        <f t="shared" si="9"/>
        <v>36</v>
      </c>
      <c r="E617" s="446">
        <v>36000</v>
      </c>
    </row>
    <row r="618" spans="1:5" ht="12.9" customHeight="1">
      <c r="A618" s="1094"/>
      <c r="B618" s="444"/>
      <c r="C618" s="444" t="s">
        <v>2638</v>
      </c>
      <c r="D618" s="445">
        <f t="shared" si="9"/>
        <v>140</v>
      </c>
      <c r="E618" s="446">
        <v>140000</v>
      </c>
    </row>
    <row r="619" spans="1:5" ht="12.9" customHeight="1">
      <c r="A619" s="1094"/>
      <c r="B619" s="444" t="s">
        <v>2941</v>
      </c>
      <c r="C619" s="444" t="s">
        <v>2641</v>
      </c>
      <c r="D619" s="445">
        <f t="shared" si="9"/>
        <v>95.616</v>
      </c>
      <c r="E619" s="446">
        <v>95616</v>
      </c>
    </row>
    <row r="620" spans="1:5" ht="12.9" customHeight="1">
      <c r="A620" s="1094"/>
      <c r="B620" s="444" t="s">
        <v>2942</v>
      </c>
      <c r="C620" s="444" t="s">
        <v>2641</v>
      </c>
      <c r="D620" s="445">
        <f t="shared" si="9"/>
        <v>210.82900000000001</v>
      </c>
      <c r="E620" s="446">
        <v>210829</v>
      </c>
    </row>
    <row r="621" spans="1:5" ht="12.9" customHeight="1">
      <c r="A621" s="1094"/>
      <c r="B621" s="444"/>
      <c r="C621" s="444" t="s">
        <v>2650</v>
      </c>
      <c r="D621" s="445">
        <f t="shared" si="9"/>
        <v>1500</v>
      </c>
      <c r="E621" s="446">
        <v>1500000</v>
      </c>
    </row>
    <row r="622" spans="1:5" ht="12.9" customHeight="1">
      <c r="A622" s="1094"/>
      <c r="B622" s="444"/>
      <c r="C622" s="444" t="s">
        <v>2638</v>
      </c>
      <c r="D622" s="445">
        <f t="shared" si="9"/>
        <v>150</v>
      </c>
      <c r="E622" s="446">
        <v>150000</v>
      </c>
    </row>
    <row r="623" spans="1:5" ht="12.9" customHeight="1">
      <c r="A623" s="1095"/>
      <c r="B623" s="444"/>
      <c r="C623" s="444" t="s">
        <v>2639</v>
      </c>
      <c r="D623" s="445">
        <f t="shared" si="9"/>
        <v>185</v>
      </c>
      <c r="E623" s="446">
        <v>185000</v>
      </c>
    </row>
    <row r="624" spans="1:5" ht="12.9" customHeight="1">
      <c r="A624" s="1101" t="s">
        <v>2943</v>
      </c>
      <c r="B624" s="1102"/>
      <c r="C624" s="449"/>
      <c r="D624" s="448">
        <f t="shared" si="9"/>
        <v>23506.841</v>
      </c>
      <c r="E624" s="446">
        <v>23506841</v>
      </c>
    </row>
    <row r="625" spans="1:5" ht="12.9" customHeight="1">
      <c r="A625" s="1093" t="s">
        <v>1938</v>
      </c>
      <c r="B625" s="444" t="s">
        <v>2944</v>
      </c>
      <c r="C625" s="444" t="s">
        <v>2638</v>
      </c>
      <c r="D625" s="445">
        <f t="shared" si="9"/>
        <v>200</v>
      </c>
      <c r="E625" s="446">
        <v>200000</v>
      </c>
    </row>
    <row r="626" spans="1:5" ht="12.9" customHeight="1">
      <c r="A626" s="1103"/>
      <c r="B626" s="444" t="s">
        <v>2945</v>
      </c>
      <c r="C626" s="444" t="s">
        <v>2665</v>
      </c>
      <c r="D626" s="445">
        <f t="shared" si="9"/>
        <v>50</v>
      </c>
      <c r="E626" s="446">
        <v>50000</v>
      </c>
    </row>
    <row r="627" spans="1:5" ht="12.9" customHeight="1">
      <c r="A627" s="1103"/>
      <c r="B627" s="444"/>
      <c r="C627" s="444" t="s">
        <v>2638</v>
      </c>
      <c r="D627" s="445">
        <f t="shared" si="9"/>
        <v>150</v>
      </c>
      <c r="E627" s="446">
        <v>150000</v>
      </c>
    </row>
    <row r="628" spans="1:5" ht="12.9" customHeight="1">
      <c r="A628" s="1103"/>
      <c r="B628" s="444" t="s">
        <v>2946</v>
      </c>
      <c r="C628" s="444" t="s">
        <v>2641</v>
      </c>
      <c r="D628" s="445">
        <f t="shared" si="9"/>
        <v>288.38900000000001</v>
      </c>
      <c r="E628" s="446">
        <v>288389</v>
      </c>
    </row>
    <row r="629" spans="1:5" ht="12.9" customHeight="1">
      <c r="A629" s="1103"/>
      <c r="B629" s="444"/>
      <c r="C629" s="444" t="s">
        <v>2646</v>
      </c>
      <c r="D629" s="445">
        <f t="shared" si="9"/>
        <v>1100</v>
      </c>
      <c r="E629" s="446">
        <v>1100000</v>
      </c>
    </row>
    <row r="630" spans="1:5" ht="12.9" customHeight="1">
      <c r="A630" s="1103"/>
      <c r="B630" s="444"/>
      <c r="C630" s="444" t="s">
        <v>2638</v>
      </c>
      <c r="D630" s="445">
        <f t="shared" si="9"/>
        <v>240</v>
      </c>
      <c r="E630" s="446">
        <v>240000</v>
      </c>
    </row>
    <row r="631" spans="1:5" ht="12.9" customHeight="1">
      <c r="A631" s="1103"/>
      <c r="B631" s="444" t="s">
        <v>2947</v>
      </c>
      <c r="C631" s="444" t="s">
        <v>2638</v>
      </c>
      <c r="D631" s="445">
        <f t="shared" si="9"/>
        <v>100</v>
      </c>
      <c r="E631" s="446">
        <v>100000</v>
      </c>
    </row>
    <row r="632" spans="1:5" ht="12.9" customHeight="1">
      <c r="A632" s="1103"/>
      <c r="B632" s="444" t="s">
        <v>2792</v>
      </c>
      <c r="C632" s="444" t="s">
        <v>2679</v>
      </c>
      <c r="D632" s="445">
        <f t="shared" si="9"/>
        <v>20</v>
      </c>
      <c r="E632" s="446">
        <v>20000</v>
      </c>
    </row>
    <row r="633" spans="1:5" ht="12.9" customHeight="1">
      <c r="A633" s="1103"/>
      <c r="B633" s="444"/>
      <c r="C633" s="444" t="s">
        <v>2638</v>
      </c>
      <c r="D633" s="445">
        <f t="shared" si="9"/>
        <v>284</v>
      </c>
      <c r="E633" s="446">
        <v>284000</v>
      </c>
    </row>
    <row r="634" spans="1:5" ht="12.9" customHeight="1">
      <c r="A634" s="1103"/>
      <c r="B634" s="444" t="s">
        <v>2948</v>
      </c>
      <c r="C634" s="444" t="s">
        <v>2638</v>
      </c>
      <c r="D634" s="445">
        <f t="shared" si="9"/>
        <v>100</v>
      </c>
      <c r="E634" s="446">
        <v>100000</v>
      </c>
    </row>
    <row r="635" spans="1:5" ht="12.9" customHeight="1">
      <c r="A635" s="1103"/>
      <c r="B635" s="444" t="s">
        <v>2949</v>
      </c>
      <c r="C635" s="444" t="s">
        <v>2654</v>
      </c>
      <c r="D635" s="445">
        <f t="shared" si="9"/>
        <v>200</v>
      </c>
      <c r="E635" s="446">
        <v>200000</v>
      </c>
    </row>
    <row r="636" spans="1:5" ht="12.9" customHeight="1">
      <c r="A636" s="1103"/>
      <c r="B636" s="444" t="s">
        <v>2950</v>
      </c>
      <c r="C636" s="444" t="s">
        <v>2641</v>
      </c>
      <c r="D636" s="445">
        <f t="shared" si="9"/>
        <v>57.97</v>
      </c>
      <c r="E636" s="446">
        <v>57970</v>
      </c>
    </row>
    <row r="637" spans="1:5" ht="12.9" customHeight="1">
      <c r="A637" s="1103"/>
      <c r="B637" s="444" t="s">
        <v>2951</v>
      </c>
      <c r="C637" s="444" t="s">
        <v>2641</v>
      </c>
      <c r="D637" s="445">
        <f t="shared" si="9"/>
        <v>26.92</v>
      </c>
      <c r="E637" s="446">
        <v>26920</v>
      </c>
    </row>
    <row r="638" spans="1:5" ht="12.9" customHeight="1">
      <c r="A638" s="1103"/>
      <c r="B638" s="444"/>
      <c r="C638" s="444" t="s">
        <v>2638</v>
      </c>
      <c r="D638" s="445">
        <f t="shared" si="9"/>
        <v>300</v>
      </c>
      <c r="E638" s="446">
        <v>300000</v>
      </c>
    </row>
    <row r="639" spans="1:5" ht="12.9" customHeight="1">
      <c r="A639" s="1103"/>
      <c r="B639" s="444" t="s">
        <v>2952</v>
      </c>
      <c r="C639" s="444" t="s">
        <v>2657</v>
      </c>
      <c r="D639" s="445">
        <f t="shared" si="9"/>
        <v>75</v>
      </c>
      <c r="E639" s="446">
        <v>75000</v>
      </c>
    </row>
    <row r="640" spans="1:5" ht="12.9" customHeight="1">
      <c r="A640" s="1103"/>
      <c r="B640" s="444"/>
      <c r="C640" s="444" t="s">
        <v>2638</v>
      </c>
      <c r="D640" s="445">
        <f t="shared" si="9"/>
        <v>180</v>
      </c>
      <c r="E640" s="446">
        <v>180000</v>
      </c>
    </row>
    <row r="641" spans="1:5" ht="12.9" customHeight="1">
      <c r="A641" s="1103"/>
      <c r="B641" s="444" t="s">
        <v>2953</v>
      </c>
      <c r="C641" s="444" t="s">
        <v>2638</v>
      </c>
      <c r="D641" s="445">
        <f t="shared" si="9"/>
        <v>300</v>
      </c>
      <c r="E641" s="446">
        <v>300000</v>
      </c>
    </row>
    <row r="642" spans="1:5" ht="12.9" customHeight="1">
      <c r="A642" s="1103"/>
      <c r="B642" s="444" t="s">
        <v>2736</v>
      </c>
      <c r="C642" s="444" t="s">
        <v>2645</v>
      </c>
      <c r="D642" s="445">
        <f t="shared" si="9"/>
        <v>10</v>
      </c>
      <c r="E642" s="446">
        <v>10000</v>
      </c>
    </row>
    <row r="643" spans="1:5" ht="12.9" customHeight="1">
      <c r="A643" s="1103"/>
      <c r="B643" s="444" t="s">
        <v>2954</v>
      </c>
      <c r="C643" s="444" t="s">
        <v>2638</v>
      </c>
      <c r="D643" s="445">
        <f t="shared" si="9"/>
        <v>300</v>
      </c>
      <c r="E643" s="446">
        <v>300000</v>
      </c>
    </row>
    <row r="644" spans="1:5" ht="12.9" customHeight="1">
      <c r="A644" s="1103"/>
      <c r="B644" s="444" t="s">
        <v>2955</v>
      </c>
      <c r="C644" s="444" t="s">
        <v>2638</v>
      </c>
      <c r="D644" s="445">
        <f t="shared" si="9"/>
        <v>120</v>
      </c>
      <c r="E644" s="446">
        <v>120000</v>
      </c>
    </row>
    <row r="645" spans="1:5" ht="12.9" customHeight="1">
      <c r="A645" s="1103"/>
      <c r="B645" s="444" t="s">
        <v>2956</v>
      </c>
      <c r="C645" s="444" t="s">
        <v>2638</v>
      </c>
      <c r="D645" s="445">
        <f t="shared" si="9"/>
        <v>100</v>
      </c>
      <c r="E645" s="446">
        <v>100000</v>
      </c>
    </row>
    <row r="646" spans="1:5" ht="12.9" customHeight="1">
      <c r="A646" s="1104"/>
      <c r="B646" s="444" t="s">
        <v>2957</v>
      </c>
      <c r="C646" s="444" t="s">
        <v>2638</v>
      </c>
      <c r="D646" s="445">
        <f t="shared" ref="D646:D709" si="10">E646/1000</f>
        <v>120</v>
      </c>
      <c r="E646" s="446">
        <v>120000</v>
      </c>
    </row>
    <row r="647" spans="1:5" ht="12.9" customHeight="1">
      <c r="A647" s="1093" t="s">
        <v>1938</v>
      </c>
      <c r="B647" s="444" t="s">
        <v>2958</v>
      </c>
      <c r="C647" s="444" t="s">
        <v>2638</v>
      </c>
      <c r="D647" s="445">
        <f t="shared" si="10"/>
        <v>100</v>
      </c>
      <c r="E647" s="446">
        <v>100000</v>
      </c>
    </row>
    <row r="648" spans="1:5" ht="12.9" customHeight="1">
      <c r="A648" s="1094"/>
      <c r="B648" s="444" t="s">
        <v>2959</v>
      </c>
      <c r="C648" s="444" t="s">
        <v>2638</v>
      </c>
      <c r="D648" s="445">
        <f t="shared" si="10"/>
        <v>300</v>
      </c>
      <c r="E648" s="446">
        <v>300000</v>
      </c>
    </row>
    <row r="649" spans="1:5" ht="12.9" customHeight="1">
      <c r="A649" s="1094"/>
      <c r="B649" s="444" t="s">
        <v>2960</v>
      </c>
      <c r="C649" s="444" t="s">
        <v>2638</v>
      </c>
      <c r="D649" s="445">
        <f t="shared" si="10"/>
        <v>100</v>
      </c>
      <c r="E649" s="446">
        <v>100000</v>
      </c>
    </row>
    <row r="650" spans="1:5" ht="12.9" customHeight="1">
      <c r="A650" s="1094"/>
      <c r="B650" s="444" t="s">
        <v>2961</v>
      </c>
      <c r="C650" s="444" t="s">
        <v>2641</v>
      </c>
      <c r="D650" s="445">
        <f t="shared" si="10"/>
        <v>14.87</v>
      </c>
      <c r="E650" s="446">
        <v>14870</v>
      </c>
    </row>
    <row r="651" spans="1:5" ht="12.9" customHeight="1">
      <c r="A651" s="1094"/>
      <c r="B651" s="444"/>
      <c r="C651" s="444" t="s">
        <v>2638</v>
      </c>
      <c r="D651" s="445">
        <f t="shared" si="10"/>
        <v>300</v>
      </c>
      <c r="E651" s="446">
        <v>300000</v>
      </c>
    </row>
    <row r="652" spans="1:5" ht="12.9" customHeight="1">
      <c r="A652" s="1094"/>
      <c r="B652" s="444" t="s">
        <v>2962</v>
      </c>
      <c r="C652" s="444" t="s">
        <v>2638</v>
      </c>
      <c r="D652" s="445">
        <f t="shared" si="10"/>
        <v>120</v>
      </c>
      <c r="E652" s="446">
        <v>120000</v>
      </c>
    </row>
    <row r="653" spans="1:5" ht="12.9" customHeight="1">
      <c r="A653" s="1094"/>
      <c r="B653" s="444" t="s">
        <v>2963</v>
      </c>
      <c r="C653" s="444" t="s">
        <v>2964</v>
      </c>
      <c r="D653" s="445">
        <f t="shared" si="10"/>
        <v>450</v>
      </c>
      <c r="E653" s="446">
        <v>450000</v>
      </c>
    </row>
    <row r="654" spans="1:5" ht="12.9" customHeight="1">
      <c r="A654" s="1094"/>
      <c r="B654" s="444"/>
      <c r="C654" s="444" t="s">
        <v>2670</v>
      </c>
      <c r="D654" s="445">
        <f t="shared" si="10"/>
        <v>14</v>
      </c>
      <c r="E654" s="446">
        <v>14000</v>
      </c>
    </row>
    <row r="655" spans="1:5" ht="12.9" customHeight="1">
      <c r="A655" s="1094"/>
      <c r="B655" s="444"/>
      <c r="C655" s="444" t="s">
        <v>2665</v>
      </c>
      <c r="D655" s="445">
        <f t="shared" si="10"/>
        <v>50</v>
      </c>
      <c r="E655" s="446">
        <v>50000</v>
      </c>
    </row>
    <row r="656" spans="1:5" ht="12.9" customHeight="1">
      <c r="A656" s="1094"/>
      <c r="B656" s="444"/>
      <c r="C656" s="444" t="s">
        <v>2646</v>
      </c>
      <c r="D656" s="445">
        <f t="shared" si="10"/>
        <v>1000</v>
      </c>
      <c r="E656" s="446">
        <v>1000000</v>
      </c>
    </row>
    <row r="657" spans="1:5" ht="12.9" customHeight="1">
      <c r="A657" s="1094"/>
      <c r="B657" s="444"/>
      <c r="C657" s="444" t="s">
        <v>2638</v>
      </c>
      <c r="D657" s="445">
        <f t="shared" si="10"/>
        <v>300</v>
      </c>
      <c r="E657" s="446">
        <v>300000</v>
      </c>
    </row>
    <row r="658" spans="1:5" ht="12.9" customHeight="1">
      <c r="A658" s="1094"/>
      <c r="B658" s="444" t="s">
        <v>2965</v>
      </c>
      <c r="C658" s="444" t="s">
        <v>2641</v>
      </c>
      <c r="D658" s="445">
        <f t="shared" si="10"/>
        <v>17.260000000000002</v>
      </c>
      <c r="E658" s="446">
        <v>17260</v>
      </c>
    </row>
    <row r="659" spans="1:5" ht="12.9" customHeight="1">
      <c r="A659" s="1094"/>
      <c r="B659" s="444"/>
      <c r="C659" s="444" t="s">
        <v>2638</v>
      </c>
      <c r="D659" s="445">
        <f t="shared" si="10"/>
        <v>100</v>
      </c>
      <c r="E659" s="446">
        <v>100000</v>
      </c>
    </row>
    <row r="660" spans="1:5" ht="12.9" customHeight="1">
      <c r="A660" s="1094"/>
      <c r="B660" s="444" t="s">
        <v>2966</v>
      </c>
      <c r="C660" s="444" t="s">
        <v>2662</v>
      </c>
      <c r="D660" s="445">
        <f t="shared" si="10"/>
        <v>14.5</v>
      </c>
      <c r="E660" s="446">
        <v>14500</v>
      </c>
    </row>
    <row r="661" spans="1:5" ht="12.9" customHeight="1">
      <c r="A661" s="1094"/>
      <c r="B661" s="444"/>
      <c r="C661" s="444" t="s">
        <v>2638</v>
      </c>
      <c r="D661" s="445">
        <f t="shared" si="10"/>
        <v>200</v>
      </c>
      <c r="E661" s="446">
        <v>200000</v>
      </c>
    </row>
    <row r="662" spans="1:5" ht="12.9" customHeight="1">
      <c r="A662" s="1094"/>
      <c r="B662" s="444"/>
      <c r="C662" s="444" t="s">
        <v>2674</v>
      </c>
      <c r="D662" s="445">
        <f t="shared" si="10"/>
        <v>30</v>
      </c>
      <c r="E662" s="446">
        <v>30000</v>
      </c>
    </row>
    <row r="663" spans="1:5" ht="12.9" customHeight="1">
      <c r="A663" s="1094"/>
      <c r="B663" s="444" t="s">
        <v>2627</v>
      </c>
      <c r="C663" s="444" t="s">
        <v>2638</v>
      </c>
      <c r="D663" s="445">
        <f t="shared" si="10"/>
        <v>300</v>
      </c>
      <c r="E663" s="446">
        <v>300000</v>
      </c>
    </row>
    <row r="664" spans="1:5" ht="12.9" customHeight="1">
      <c r="A664" s="1094"/>
      <c r="B664" s="444" t="s">
        <v>2967</v>
      </c>
      <c r="C664" s="444" t="s">
        <v>2638</v>
      </c>
      <c r="D664" s="445">
        <f t="shared" si="10"/>
        <v>300</v>
      </c>
      <c r="E664" s="446">
        <v>300000</v>
      </c>
    </row>
    <row r="665" spans="1:5" ht="12.9" customHeight="1">
      <c r="A665" s="1094"/>
      <c r="B665" s="444" t="s">
        <v>2968</v>
      </c>
      <c r="C665" s="444" t="s">
        <v>2641</v>
      </c>
      <c r="D665" s="445">
        <f t="shared" si="10"/>
        <v>24.22</v>
      </c>
      <c r="E665" s="446">
        <v>24220</v>
      </c>
    </row>
    <row r="666" spans="1:5" ht="12.9" customHeight="1">
      <c r="A666" s="1094"/>
      <c r="B666" s="444" t="s">
        <v>2969</v>
      </c>
      <c r="C666" s="444" t="s">
        <v>2650</v>
      </c>
      <c r="D666" s="445">
        <f t="shared" si="10"/>
        <v>1500</v>
      </c>
      <c r="E666" s="446">
        <v>1500000</v>
      </c>
    </row>
    <row r="667" spans="1:5" ht="12.9" customHeight="1">
      <c r="A667" s="1094"/>
      <c r="B667" s="444" t="s">
        <v>2970</v>
      </c>
      <c r="C667" s="444" t="s">
        <v>2638</v>
      </c>
      <c r="D667" s="445">
        <f t="shared" si="10"/>
        <v>100</v>
      </c>
      <c r="E667" s="446">
        <v>100000</v>
      </c>
    </row>
    <row r="668" spans="1:5" ht="12.9" customHeight="1">
      <c r="A668" s="1094"/>
      <c r="B668" s="444" t="s">
        <v>2971</v>
      </c>
      <c r="C668" s="444" t="s">
        <v>2651</v>
      </c>
      <c r="D668" s="445">
        <f t="shared" si="10"/>
        <v>20</v>
      </c>
      <c r="E668" s="446">
        <v>20000</v>
      </c>
    </row>
    <row r="669" spans="1:5" ht="12.9" customHeight="1">
      <c r="A669" s="1094"/>
      <c r="B669" s="444"/>
      <c r="C669" s="444" t="s">
        <v>2663</v>
      </c>
      <c r="D669" s="445">
        <f t="shared" si="10"/>
        <v>200</v>
      </c>
      <c r="E669" s="446">
        <v>200000</v>
      </c>
    </row>
    <row r="670" spans="1:5" ht="12.9" customHeight="1">
      <c r="A670" s="1094"/>
      <c r="B670" s="444" t="s">
        <v>1938</v>
      </c>
      <c r="C670" s="444" t="s">
        <v>2657</v>
      </c>
      <c r="D670" s="445">
        <f t="shared" si="10"/>
        <v>50</v>
      </c>
      <c r="E670" s="446">
        <v>50000</v>
      </c>
    </row>
    <row r="671" spans="1:5" ht="12.9" customHeight="1">
      <c r="A671" s="1094"/>
      <c r="B671" s="444"/>
      <c r="C671" s="444" t="s">
        <v>2649</v>
      </c>
      <c r="D671" s="445">
        <f t="shared" si="10"/>
        <v>80</v>
      </c>
      <c r="E671" s="446">
        <v>80000</v>
      </c>
    </row>
    <row r="672" spans="1:5" ht="12.9" customHeight="1">
      <c r="A672" s="1094"/>
      <c r="B672" s="444"/>
      <c r="C672" s="444" t="s">
        <v>2645</v>
      </c>
      <c r="D672" s="445">
        <f t="shared" si="10"/>
        <v>10</v>
      </c>
      <c r="E672" s="446">
        <v>10000</v>
      </c>
    </row>
    <row r="673" spans="1:5" ht="12.9" customHeight="1">
      <c r="A673" s="1094"/>
      <c r="B673" s="444"/>
      <c r="C673" s="444" t="s">
        <v>2651</v>
      </c>
      <c r="D673" s="445">
        <f t="shared" si="10"/>
        <v>20</v>
      </c>
      <c r="E673" s="446">
        <v>20000</v>
      </c>
    </row>
    <row r="674" spans="1:5" ht="12.9" customHeight="1">
      <c r="A674" s="1094"/>
      <c r="B674" s="444"/>
      <c r="C674" s="444" t="s">
        <v>2662</v>
      </c>
      <c r="D674" s="445">
        <f t="shared" si="10"/>
        <v>69.5</v>
      </c>
      <c r="E674" s="446">
        <v>69500</v>
      </c>
    </row>
    <row r="675" spans="1:5" ht="12.9" customHeight="1">
      <c r="A675" s="1094"/>
      <c r="B675" s="444"/>
      <c r="C675" s="444" t="s">
        <v>2652</v>
      </c>
      <c r="D675" s="445">
        <f t="shared" si="10"/>
        <v>129</v>
      </c>
      <c r="E675" s="446">
        <v>129000</v>
      </c>
    </row>
    <row r="676" spans="1:5" ht="12.9" customHeight="1">
      <c r="A676" s="1094"/>
      <c r="B676" s="444"/>
      <c r="C676" s="444" t="s">
        <v>2653</v>
      </c>
      <c r="D676" s="445">
        <f t="shared" si="10"/>
        <v>811</v>
      </c>
      <c r="E676" s="446">
        <v>811000</v>
      </c>
    </row>
    <row r="677" spans="1:5" ht="12.9" customHeight="1">
      <c r="A677" s="1094"/>
      <c r="B677" s="444" t="s">
        <v>2972</v>
      </c>
      <c r="C677" s="444" t="s">
        <v>2641</v>
      </c>
      <c r="D677" s="445">
        <f t="shared" si="10"/>
        <v>16.510000000000002</v>
      </c>
      <c r="E677" s="446">
        <v>16510</v>
      </c>
    </row>
    <row r="678" spans="1:5" ht="12.9" customHeight="1">
      <c r="A678" s="1094"/>
      <c r="B678" s="444" t="s">
        <v>2973</v>
      </c>
      <c r="C678" s="444" t="s">
        <v>2638</v>
      </c>
      <c r="D678" s="445">
        <f t="shared" si="10"/>
        <v>150</v>
      </c>
      <c r="E678" s="446">
        <v>150000</v>
      </c>
    </row>
    <row r="679" spans="1:5" ht="12.9" customHeight="1">
      <c r="A679" s="1094"/>
      <c r="B679" s="444" t="s">
        <v>2974</v>
      </c>
      <c r="C679" s="444" t="s">
        <v>2638</v>
      </c>
      <c r="D679" s="445">
        <f t="shared" si="10"/>
        <v>128</v>
      </c>
      <c r="E679" s="446">
        <v>128000</v>
      </c>
    </row>
    <row r="680" spans="1:5" ht="12.9" customHeight="1">
      <c r="A680" s="1094"/>
      <c r="B680" s="444" t="s">
        <v>2975</v>
      </c>
      <c r="C680" s="444" t="s">
        <v>2646</v>
      </c>
      <c r="D680" s="445">
        <f t="shared" si="10"/>
        <v>1800</v>
      </c>
      <c r="E680" s="446">
        <v>1800000</v>
      </c>
    </row>
    <row r="681" spans="1:5" ht="12.9" customHeight="1">
      <c r="A681" s="1094"/>
      <c r="B681" s="444"/>
      <c r="C681" s="444" t="s">
        <v>2639</v>
      </c>
      <c r="D681" s="445">
        <f t="shared" si="10"/>
        <v>300</v>
      </c>
      <c r="E681" s="446">
        <v>300000</v>
      </c>
    </row>
    <row r="682" spans="1:5" ht="12.9" customHeight="1">
      <c r="A682" s="1094"/>
      <c r="B682" s="444" t="s">
        <v>2976</v>
      </c>
      <c r="C682" s="444" t="s">
        <v>2638</v>
      </c>
      <c r="D682" s="445">
        <f t="shared" si="10"/>
        <v>250</v>
      </c>
      <c r="E682" s="446">
        <v>250000</v>
      </c>
    </row>
    <row r="683" spans="1:5" ht="12.9" customHeight="1">
      <c r="A683" s="1094"/>
      <c r="B683" s="444" t="s">
        <v>2977</v>
      </c>
      <c r="C683" s="444" t="s">
        <v>2638</v>
      </c>
      <c r="D683" s="445">
        <f t="shared" si="10"/>
        <v>150</v>
      </c>
      <c r="E683" s="446">
        <v>150000</v>
      </c>
    </row>
    <row r="684" spans="1:5" ht="12.9" customHeight="1">
      <c r="A684" s="1095"/>
      <c r="B684" s="444" t="s">
        <v>2978</v>
      </c>
      <c r="C684" s="444" t="s">
        <v>2657</v>
      </c>
      <c r="D684" s="445">
        <f t="shared" si="10"/>
        <v>114.56</v>
      </c>
      <c r="E684" s="446">
        <f>130000-15440</f>
        <v>114560</v>
      </c>
    </row>
    <row r="685" spans="1:5" ht="12.9" customHeight="1">
      <c r="A685" s="1093" t="s">
        <v>1938</v>
      </c>
      <c r="B685" s="444" t="s">
        <v>2978</v>
      </c>
      <c r="C685" s="444" t="s">
        <v>2641</v>
      </c>
      <c r="D685" s="445">
        <f t="shared" si="10"/>
        <v>34.409999999999997</v>
      </c>
      <c r="E685" s="446">
        <v>34410</v>
      </c>
    </row>
    <row r="686" spans="1:5" ht="12.9" customHeight="1">
      <c r="A686" s="1094"/>
      <c r="B686" s="444" t="s">
        <v>2979</v>
      </c>
      <c r="C686" s="444" t="s">
        <v>2769</v>
      </c>
      <c r="D686" s="445">
        <f t="shared" si="10"/>
        <v>17</v>
      </c>
      <c r="E686" s="446">
        <v>17000</v>
      </c>
    </row>
    <row r="687" spans="1:5" ht="12.9" customHeight="1">
      <c r="A687" s="1094"/>
      <c r="B687" s="444"/>
      <c r="C687" s="444" t="s">
        <v>2638</v>
      </c>
      <c r="D687" s="445">
        <f t="shared" si="10"/>
        <v>150</v>
      </c>
      <c r="E687" s="446">
        <v>150000</v>
      </c>
    </row>
    <row r="688" spans="1:5" ht="12.9" customHeight="1">
      <c r="A688" s="1096"/>
      <c r="B688" s="444"/>
      <c r="C688" s="444" t="s">
        <v>2674</v>
      </c>
      <c r="D688" s="445">
        <f t="shared" si="10"/>
        <v>20</v>
      </c>
      <c r="E688" s="446">
        <v>20000</v>
      </c>
    </row>
    <row r="689" spans="1:5" ht="12.9" customHeight="1">
      <c r="A689" s="1094"/>
      <c r="B689" s="444" t="s">
        <v>2980</v>
      </c>
      <c r="C689" s="444" t="s">
        <v>2638</v>
      </c>
      <c r="D689" s="445">
        <f t="shared" si="10"/>
        <v>120</v>
      </c>
      <c r="E689" s="446">
        <v>120000</v>
      </c>
    </row>
    <row r="690" spans="1:5" ht="12.9" customHeight="1">
      <c r="A690" s="1094"/>
      <c r="B690" s="444" t="s">
        <v>2981</v>
      </c>
      <c r="C690" s="444" t="s">
        <v>2651</v>
      </c>
      <c r="D690" s="445">
        <f t="shared" si="10"/>
        <v>20</v>
      </c>
      <c r="E690" s="446">
        <v>20000</v>
      </c>
    </row>
    <row r="691" spans="1:5" ht="12.9" customHeight="1">
      <c r="A691" s="1094"/>
      <c r="B691" s="444"/>
      <c r="C691" s="444" t="s">
        <v>2638</v>
      </c>
      <c r="D691" s="445">
        <f t="shared" si="10"/>
        <v>181</v>
      </c>
      <c r="E691" s="446">
        <v>181000</v>
      </c>
    </row>
    <row r="692" spans="1:5" ht="12.9" customHeight="1">
      <c r="A692" s="1094"/>
      <c r="B692" s="444" t="s">
        <v>2982</v>
      </c>
      <c r="C692" s="444" t="s">
        <v>2638</v>
      </c>
      <c r="D692" s="445">
        <f t="shared" si="10"/>
        <v>300</v>
      </c>
      <c r="E692" s="446">
        <v>300000</v>
      </c>
    </row>
    <row r="693" spans="1:5" ht="12.9" customHeight="1">
      <c r="A693" s="1095"/>
      <c r="B693" s="444" t="s">
        <v>2983</v>
      </c>
      <c r="C693" s="444" t="s">
        <v>2639</v>
      </c>
      <c r="D693" s="445">
        <f t="shared" si="10"/>
        <v>264</v>
      </c>
      <c r="E693" s="446">
        <v>264000</v>
      </c>
    </row>
    <row r="694" spans="1:5" ht="12.9" customHeight="1">
      <c r="A694" s="1101" t="s">
        <v>2629</v>
      </c>
      <c r="B694" s="1102"/>
      <c r="C694" s="449"/>
      <c r="D694" s="448">
        <f t="shared" si="10"/>
        <v>15062.109</v>
      </c>
      <c r="E694" s="446">
        <v>15062109</v>
      </c>
    </row>
    <row r="695" spans="1:5" ht="12.9" customHeight="1">
      <c r="A695" s="1093" t="s">
        <v>1954</v>
      </c>
      <c r="B695" s="444" t="s">
        <v>2984</v>
      </c>
      <c r="C695" s="444" t="s">
        <v>2641</v>
      </c>
      <c r="D695" s="445">
        <f t="shared" si="10"/>
        <v>24.79</v>
      </c>
      <c r="E695" s="446">
        <v>24790</v>
      </c>
    </row>
    <row r="696" spans="1:5" ht="12.9" customHeight="1">
      <c r="A696" s="1094"/>
      <c r="B696" s="444"/>
      <c r="C696" s="444" t="s">
        <v>2638</v>
      </c>
      <c r="D696" s="445">
        <f t="shared" si="10"/>
        <v>100</v>
      </c>
      <c r="E696" s="446">
        <v>100000</v>
      </c>
    </row>
    <row r="697" spans="1:5" ht="12.9" customHeight="1">
      <c r="A697" s="1094"/>
      <c r="B697" s="444" t="s">
        <v>2985</v>
      </c>
      <c r="C697" s="444" t="s">
        <v>2641</v>
      </c>
      <c r="D697" s="445">
        <f t="shared" si="10"/>
        <v>6.75</v>
      </c>
      <c r="E697" s="446">
        <v>6750</v>
      </c>
    </row>
    <row r="698" spans="1:5" ht="12.9" customHeight="1">
      <c r="A698" s="1094"/>
      <c r="B698" s="444"/>
      <c r="C698" s="444" t="s">
        <v>2638</v>
      </c>
      <c r="D698" s="445">
        <f t="shared" si="10"/>
        <v>135</v>
      </c>
      <c r="E698" s="446">
        <f>230000-95000</f>
        <v>135000</v>
      </c>
    </row>
    <row r="699" spans="1:5" ht="12.9" customHeight="1">
      <c r="A699" s="1094"/>
      <c r="B699" s="444" t="s">
        <v>2630</v>
      </c>
      <c r="C699" s="444" t="s">
        <v>2641</v>
      </c>
      <c r="D699" s="445">
        <f t="shared" si="10"/>
        <v>350</v>
      </c>
      <c r="E699" s="446">
        <v>350000</v>
      </c>
    </row>
    <row r="700" spans="1:5" ht="12.9" customHeight="1">
      <c r="A700" s="1094"/>
      <c r="B700" s="444"/>
      <c r="C700" s="444" t="s">
        <v>2638</v>
      </c>
      <c r="D700" s="445">
        <f t="shared" si="10"/>
        <v>124</v>
      </c>
      <c r="E700" s="446">
        <v>124000</v>
      </c>
    </row>
    <row r="701" spans="1:5" ht="12.9" customHeight="1">
      <c r="A701" s="1094"/>
      <c r="B701" s="444" t="s">
        <v>2986</v>
      </c>
      <c r="C701" s="444" t="s">
        <v>2638</v>
      </c>
      <c r="D701" s="445">
        <f t="shared" si="10"/>
        <v>200</v>
      </c>
      <c r="E701" s="446">
        <v>200000</v>
      </c>
    </row>
    <row r="702" spans="1:5" ht="12.9" customHeight="1">
      <c r="A702" s="1094"/>
      <c r="B702" s="444" t="s">
        <v>2987</v>
      </c>
      <c r="C702" s="444" t="s">
        <v>2638</v>
      </c>
      <c r="D702" s="445">
        <f t="shared" si="10"/>
        <v>250</v>
      </c>
      <c r="E702" s="446">
        <v>250000</v>
      </c>
    </row>
    <row r="703" spans="1:5" ht="12.9" customHeight="1">
      <c r="A703" s="1094"/>
      <c r="B703" s="444" t="s">
        <v>2988</v>
      </c>
      <c r="C703" s="444" t="s">
        <v>2641</v>
      </c>
      <c r="D703" s="445">
        <f t="shared" si="10"/>
        <v>47.7</v>
      </c>
      <c r="E703" s="446">
        <v>47700</v>
      </c>
    </row>
    <row r="704" spans="1:5" ht="12.9" customHeight="1">
      <c r="A704" s="1094"/>
      <c r="B704" s="444" t="s">
        <v>2989</v>
      </c>
      <c r="C704" s="444" t="s">
        <v>2638</v>
      </c>
      <c r="D704" s="445">
        <f t="shared" si="10"/>
        <v>200</v>
      </c>
      <c r="E704" s="446">
        <v>200000</v>
      </c>
    </row>
    <row r="705" spans="1:5" ht="12.9" customHeight="1">
      <c r="A705" s="1094"/>
      <c r="B705" s="444" t="s">
        <v>2990</v>
      </c>
      <c r="C705" s="444" t="s">
        <v>2641</v>
      </c>
      <c r="D705" s="445">
        <f t="shared" si="10"/>
        <v>264</v>
      </c>
      <c r="E705" s="446">
        <v>264000</v>
      </c>
    </row>
    <row r="706" spans="1:5" ht="12.9" customHeight="1">
      <c r="A706" s="1094"/>
      <c r="B706" s="444" t="s">
        <v>2991</v>
      </c>
      <c r="C706" s="444" t="s">
        <v>2641</v>
      </c>
      <c r="D706" s="445">
        <f t="shared" si="10"/>
        <v>19.308</v>
      </c>
      <c r="E706" s="446">
        <v>19308</v>
      </c>
    </row>
    <row r="707" spans="1:5" ht="12.9" customHeight="1">
      <c r="A707" s="1094"/>
      <c r="B707" s="444"/>
      <c r="C707" s="444" t="s">
        <v>2638</v>
      </c>
      <c r="D707" s="445">
        <f t="shared" si="10"/>
        <v>300</v>
      </c>
      <c r="E707" s="446">
        <v>300000</v>
      </c>
    </row>
    <row r="708" spans="1:5" ht="12.9" customHeight="1">
      <c r="A708" s="1094"/>
      <c r="B708" s="444" t="s">
        <v>2992</v>
      </c>
      <c r="C708" s="444" t="s">
        <v>2641</v>
      </c>
      <c r="D708" s="445">
        <f t="shared" si="10"/>
        <v>49.6</v>
      </c>
      <c r="E708" s="446">
        <v>49600</v>
      </c>
    </row>
    <row r="709" spans="1:5" ht="12.9" customHeight="1">
      <c r="A709" s="1094"/>
      <c r="B709" s="444"/>
      <c r="C709" s="444" t="s">
        <v>2638</v>
      </c>
      <c r="D709" s="445">
        <f t="shared" si="10"/>
        <v>140</v>
      </c>
      <c r="E709" s="446">
        <v>140000</v>
      </c>
    </row>
    <row r="710" spans="1:5" ht="12.9" customHeight="1">
      <c r="A710" s="1094"/>
      <c r="B710" s="444" t="s">
        <v>2993</v>
      </c>
      <c r="C710" s="444" t="s">
        <v>2638</v>
      </c>
      <c r="D710" s="445">
        <f t="shared" ref="D710:D773" si="11">E710/1000</f>
        <v>300</v>
      </c>
      <c r="E710" s="446">
        <v>300000</v>
      </c>
    </row>
    <row r="711" spans="1:5" ht="12.9" customHeight="1">
      <c r="A711" s="1094"/>
      <c r="B711" s="444" t="s">
        <v>2994</v>
      </c>
      <c r="C711" s="444" t="s">
        <v>2657</v>
      </c>
      <c r="D711" s="445">
        <f t="shared" si="11"/>
        <v>80</v>
      </c>
      <c r="E711" s="446">
        <v>80000</v>
      </c>
    </row>
    <row r="712" spans="1:5" ht="12.9" customHeight="1">
      <c r="A712" s="1094"/>
      <c r="B712" s="444"/>
      <c r="C712" s="444" t="s">
        <v>2645</v>
      </c>
      <c r="D712" s="445">
        <f t="shared" si="11"/>
        <v>25</v>
      </c>
      <c r="E712" s="446">
        <v>25000</v>
      </c>
    </row>
    <row r="713" spans="1:5" ht="12.9" customHeight="1">
      <c r="A713" s="1094"/>
      <c r="B713" s="444"/>
      <c r="C713" s="444" t="s">
        <v>2638</v>
      </c>
      <c r="D713" s="445">
        <f t="shared" si="11"/>
        <v>200</v>
      </c>
      <c r="E713" s="446">
        <v>200000</v>
      </c>
    </row>
    <row r="714" spans="1:5" ht="12.9" customHeight="1">
      <c r="A714" s="1094"/>
      <c r="B714" s="444"/>
      <c r="C714" s="444" t="s">
        <v>2654</v>
      </c>
      <c r="D714" s="445">
        <f t="shared" si="11"/>
        <v>94</v>
      </c>
      <c r="E714" s="446">
        <v>94000</v>
      </c>
    </row>
    <row r="715" spans="1:5" ht="12.9" customHeight="1">
      <c r="A715" s="1094"/>
      <c r="B715" s="444" t="s">
        <v>2995</v>
      </c>
      <c r="C715" s="444" t="s">
        <v>2641</v>
      </c>
      <c r="D715" s="445">
        <f t="shared" si="11"/>
        <v>21.6</v>
      </c>
      <c r="E715" s="446">
        <v>21600</v>
      </c>
    </row>
    <row r="716" spans="1:5" ht="12.9" customHeight="1">
      <c r="A716" s="1094"/>
      <c r="B716" s="444" t="s">
        <v>2996</v>
      </c>
      <c r="C716" s="444" t="s">
        <v>2641</v>
      </c>
      <c r="D716" s="445">
        <f t="shared" si="11"/>
        <v>196.46600000000001</v>
      </c>
      <c r="E716" s="446">
        <v>196466</v>
      </c>
    </row>
    <row r="717" spans="1:5" ht="12.9" customHeight="1">
      <c r="A717" s="1094"/>
      <c r="B717" s="444"/>
      <c r="C717" s="444" t="s">
        <v>2665</v>
      </c>
      <c r="D717" s="445">
        <f t="shared" si="11"/>
        <v>50</v>
      </c>
      <c r="E717" s="446">
        <v>50000</v>
      </c>
    </row>
    <row r="718" spans="1:5" ht="12.9" customHeight="1">
      <c r="A718" s="1094"/>
      <c r="B718" s="444"/>
      <c r="C718" s="444" t="s">
        <v>2638</v>
      </c>
      <c r="D718" s="445">
        <f t="shared" si="11"/>
        <v>150</v>
      </c>
      <c r="E718" s="446">
        <v>150000</v>
      </c>
    </row>
    <row r="719" spans="1:5" ht="12.9" customHeight="1">
      <c r="A719" s="1094"/>
      <c r="B719" s="444" t="s">
        <v>2997</v>
      </c>
      <c r="C719" s="444" t="s">
        <v>2641</v>
      </c>
      <c r="D719" s="445">
        <f t="shared" si="11"/>
        <v>121.94199999999999</v>
      </c>
      <c r="E719" s="446">
        <v>121942</v>
      </c>
    </row>
    <row r="720" spans="1:5" ht="12.9" customHeight="1">
      <c r="A720" s="1094"/>
      <c r="B720" s="444"/>
      <c r="C720" s="444" t="s">
        <v>2638</v>
      </c>
      <c r="D720" s="445">
        <f t="shared" si="11"/>
        <v>290</v>
      </c>
      <c r="E720" s="446">
        <v>290000</v>
      </c>
    </row>
    <row r="721" spans="1:5" ht="12.9" customHeight="1">
      <c r="A721" s="1094"/>
      <c r="B721" s="444" t="s">
        <v>2998</v>
      </c>
      <c r="C721" s="444" t="s">
        <v>2641</v>
      </c>
      <c r="D721" s="445">
        <f t="shared" si="11"/>
        <v>41.652000000000001</v>
      </c>
      <c r="E721" s="446">
        <v>41652</v>
      </c>
    </row>
    <row r="722" spans="1:5" ht="12.9" customHeight="1">
      <c r="A722" s="1095"/>
      <c r="B722" s="444" t="s">
        <v>2999</v>
      </c>
      <c r="C722" s="444" t="s">
        <v>2641</v>
      </c>
      <c r="D722" s="445">
        <f t="shared" si="11"/>
        <v>82.25</v>
      </c>
      <c r="E722" s="446">
        <v>82250</v>
      </c>
    </row>
    <row r="723" spans="1:5" ht="12.9" customHeight="1">
      <c r="A723" s="1093" t="s">
        <v>1954</v>
      </c>
      <c r="B723" s="444" t="s">
        <v>2999</v>
      </c>
      <c r="C723" s="444" t="s">
        <v>2646</v>
      </c>
      <c r="D723" s="445">
        <f t="shared" si="11"/>
        <v>2500</v>
      </c>
      <c r="E723" s="446">
        <v>2500000</v>
      </c>
    </row>
    <row r="724" spans="1:5" ht="12.9" customHeight="1">
      <c r="A724" s="1094"/>
      <c r="B724" s="444" t="s">
        <v>3000</v>
      </c>
      <c r="C724" s="444" t="s">
        <v>2638</v>
      </c>
      <c r="D724" s="445">
        <f t="shared" si="11"/>
        <v>117</v>
      </c>
      <c r="E724" s="446">
        <v>117000</v>
      </c>
    </row>
    <row r="725" spans="1:5" ht="12.9" customHeight="1">
      <c r="A725" s="1094"/>
      <c r="B725" s="444" t="s">
        <v>3001</v>
      </c>
      <c r="C725" s="444" t="s">
        <v>2645</v>
      </c>
      <c r="D725" s="445">
        <f t="shared" si="11"/>
        <v>8</v>
      </c>
      <c r="E725" s="446">
        <v>8000</v>
      </c>
    </row>
    <row r="726" spans="1:5" ht="12.9" customHeight="1">
      <c r="A726" s="1094"/>
      <c r="B726" s="444"/>
      <c r="C726" s="444" t="s">
        <v>2639</v>
      </c>
      <c r="D726" s="445">
        <f t="shared" si="11"/>
        <v>300</v>
      </c>
      <c r="E726" s="446">
        <v>300000</v>
      </c>
    </row>
    <row r="727" spans="1:5" ht="12.9" customHeight="1">
      <c r="A727" s="1094"/>
      <c r="B727" s="444" t="s">
        <v>3002</v>
      </c>
      <c r="C727" s="444" t="s">
        <v>2641</v>
      </c>
      <c r="D727" s="445">
        <f t="shared" si="11"/>
        <v>6.3</v>
      </c>
      <c r="E727" s="446">
        <v>6300</v>
      </c>
    </row>
    <row r="728" spans="1:5" ht="12.9" customHeight="1">
      <c r="A728" s="1094"/>
      <c r="B728" s="444" t="s">
        <v>3003</v>
      </c>
      <c r="C728" s="444" t="s">
        <v>2638</v>
      </c>
      <c r="D728" s="445">
        <f t="shared" si="11"/>
        <v>180</v>
      </c>
      <c r="E728" s="446">
        <v>180000</v>
      </c>
    </row>
    <row r="729" spans="1:5" ht="12.9" customHeight="1">
      <c r="A729" s="1094"/>
      <c r="B729" s="444" t="s">
        <v>3004</v>
      </c>
      <c r="C729" s="444" t="s">
        <v>2769</v>
      </c>
      <c r="D729" s="445">
        <f t="shared" si="11"/>
        <v>35</v>
      </c>
      <c r="E729" s="446">
        <v>35000</v>
      </c>
    </row>
    <row r="730" spans="1:5" ht="12.9" customHeight="1">
      <c r="A730" s="1094"/>
      <c r="B730" s="444"/>
      <c r="C730" s="444" t="s">
        <v>2652</v>
      </c>
      <c r="D730" s="445">
        <f t="shared" si="11"/>
        <v>70</v>
      </c>
      <c r="E730" s="446">
        <v>70000</v>
      </c>
    </row>
    <row r="731" spans="1:5" ht="12.9" customHeight="1">
      <c r="A731" s="1096"/>
      <c r="B731" s="444"/>
      <c r="C731" s="444" t="s">
        <v>2638</v>
      </c>
      <c r="D731" s="445">
        <f t="shared" si="11"/>
        <v>150</v>
      </c>
      <c r="E731" s="446">
        <v>150000</v>
      </c>
    </row>
    <row r="732" spans="1:5" ht="12.9" customHeight="1">
      <c r="A732" s="1094"/>
      <c r="B732" s="444" t="s">
        <v>3005</v>
      </c>
      <c r="C732" s="444" t="s">
        <v>2638</v>
      </c>
      <c r="D732" s="445">
        <f t="shared" si="11"/>
        <v>240</v>
      </c>
      <c r="E732" s="446">
        <v>240000</v>
      </c>
    </row>
    <row r="733" spans="1:5" ht="12.9" customHeight="1">
      <c r="A733" s="1094"/>
      <c r="B733" s="444" t="s">
        <v>3006</v>
      </c>
      <c r="C733" s="444" t="s">
        <v>2641</v>
      </c>
      <c r="D733" s="445">
        <f t="shared" si="11"/>
        <v>117.392</v>
      </c>
      <c r="E733" s="446">
        <v>117392</v>
      </c>
    </row>
    <row r="734" spans="1:5" ht="12.9" customHeight="1">
      <c r="A734" s="1094"/>
      <c r="B734" s="444"/>
      <c r="C734" s="444" t="s">
        <v>2638</v>
      </c>
      <c r="D734" s="445">
        <f t="shared" si="11"/>
        <v>140</v>
      </c>
      <c r="E734" s="446">
        <v>140000</v>
      </c>
    </row>
    <row r="735" spans="1:5" ht="12.9" customHeight="1">
      <c r="A735" s="1094"/>
      <c r="B735" s="444" t="s">
        <v>3007</v>
      </c>
      <c r="C735" s="444" t="s">
        <v>2641</v>
      </c>
      <c r="D735" s="445">
        <f t="shared" si="11"/>
        <v>74.763000000000005</v>
      </c>
      <c r="E735" s="446">
        <v>74763</v>
      </c>
    </row>
    <row r="736" spans="1:5" ht="12.9" customHeight="1">
      <c r="A736" s="1094"/>
      <c r="B736" s="444"/>
      <c r="C736" s="444" t="s">
        <v>2670</v>
      </c>
      <c r="D736" s="445">
        <f t="shared" si="11"/>
        <v>4</v>
      </c>
      <c r="E736" s="446">
        <v>4000</v>
      </c>
    </row>
    <row r="737" spans="1:5" ht="12.9" customHeight="1">
      <c r="A737" s="1094"/>
      <c r="B737" s="444"/>
      <c r="C737" s="444" t="s">
        <v>2638</v>
      </c>
      <c r="D737" s="445">
        <f t="shared" si="11"/>
        <v>170</v>
      </c>
      <c r="E737" s="446">
        <v>170000</v>
      </c>
    </row>
    <row r="738" spans="1:5" ht="12.9" customHeight="1">
      <c r="A738" s="1094"/>
      <c r="B738" s="444" t="s">
        <v>3008</v>
      </c>
      <c r="C738" s="444" t="s">
        <v>2641</v>
      </c>
      <c r="D738" s="445">
        <f t="shared" si="11"/>
        <v>71.349999999999994</v>
      </c>
      <c r="E738" s="446">
        <v>71350</v>
      </c>
    </row>
    <row r="739" spans="1:5" ht="12.9" customHeight="1">
      <c r="A739" s="1094"/>
      <c r="B739" s="444"/>
      <c r="C739" s="444" t="s">
        <v>2638</v>
      </c>
      <c r="D739" s="445">
        <f t="shared" si="11"/>
        <v>200</v>
      </c>
      <c r="E739" s="446">
        <v>200000</v>
      </c>
    </row>
    <row r="740" spans="1:5" ht="12.9" customHeight="1">
      <c r="A740" s="1094"/>
      <c r="B740" s="444" t="s">
        <v>2703</v>
      </c>
      <c r="C740" s="444" t="s">
        <v>2638</v>
      </c>
      <c r="D740" s="445">
        <f t="shared" si="11"/>
        <v>230</v>
      </c>
      <c r="E740" s="446">
        <v>230000</v>
      </c>
    </row>
    <row r="741" spans="1:5" ht="12.9" customHeight="1">
      <c r="A741" s="1094"/>
      <c r="B741" s="444"/>
      <c r="C741" s="444" t="s">
        <v>2654</v>
      </c>
      <c r="D741" s="445">
        <f t="shared" si="11"/>
        <v>114.946</v>
      </c>
      <c r="E741" s="446">
        <f>120000-5054</f>
        <v>114946</v>
      </c>
    </row>
    <row r="742" spans="1:5" ht="12.9" customHeight="1">
      <c r="A742" s="1094"/>
      <c r="B742" s="444" t="s">
        <v>3009</v>
      </c>
      <c r="C742" s="444" t="s">
        <v>2649</v>
      </c>
      <c r="D742" s="445">
        <f t="shared" si="11"/>
        <v>1120</v>
      </c>
      <c r="E742" s="446">
        <v>1120000</v>
      </c>
    </row>
    <row r="743" spans="1:5" ht="12.9" customHeight="1">
      <c r="A743" s="1094"/>
      <c r="B743" s="444"/>
      <c r="C743" s="444" t="s">
        <v>2650</v>
      </c>
      <c r="D743" s="445">
        <f t="shared" si="11"/>
        <v>1000</v>
      </c>
      <c r="E743" s="446">
        <v>1000000</v>
      </c>
    </row>
    <row r="744" spans="1:5" ht="12.9" customHeight="1">
      <c r="A744" s="1094"/>
      <c r="B744" s="444"/>
      <c r="C744" s="444" t="s">
        <v>2787</v>
      </c>
      <c r="D744" s="445">
        <f t="shared" si="11"/>
        <v>40</v>
      </c>
      <c r="E744" s="446">
        <v>40000</v>
      </c>
    </row>
    <row r="745" spans="1:5" ht="12.9" customHeight="1">
      <c r="A745" s="1094"/>
      <c r="B745" s="444"/>
      <c r="C745" s="444" t="s">
        <v>2651</v>
      </c>
      <c r="D745" s="445">
        <f t="shared" si="11"/>
        <v>25</v>
      </c>
      <c r="E745" s="446">
        <v>25000</v>
      </c>
    </row>
    <row r="746" spans="1:5" ht="12.9" customHeight="1">
      <c r="A746" s="1094"/>
      <c r="B746" s="444"/>
      <c r="C746" s="444" t="s">
        <v>2652</v>
      </c>
      <c r="D746" s="445">
        <f t="shared" si="11"/>
        <v>111</v>
      </c>
      <c r="E746" s="446">
        <v>111000</v>
      </c>
    </row>
    <row r="747" spans="1:5" ht="12.9" customHeight="1">
      <c r="A747" s="1094"/>
      <c r="B747" s="444"/>
      <c r="C747" s="444" t="s">
        <v>2638</v>
      </c>
      <c r="D747" s="445">
        <f t="shared" si="11"/>
        <v>150</v>
      </c>
      <c r="E747" s="446">
        <v>150000</v>
      </c>
    </row>
    <row r="748" spans="1:5" ht="12.9" customHeight="1">
      <c r="A748" s="1094"/>
      <c r="B748" s="444"/>
      <c r="C748" s="444" t="s">
        <v>2639</v>
      </c>
      <c r="D748" s="445">
        <f t="shared" si="11"/>
        <v>570</v>
      </c>
      <c r="E748" s="446">
        <v>570000</v>
      </c>
    </row>
    <row r="749" spans="1:5" ht="12.9" customHeight="1">
      <c r="A749" s="1094"/>
      <c r="B749" s="444" t="s">
        <v>3010</v>
      </c>
      <c r="C749" s="444" t="s">
        <v>2657</v>
      </c>
      <c r="D749" s="445">
        <f t="shared" si="11"/>
        <v>47</v>
      </c>
      <c r="E749" s="446">
        <v>47000</v>
      </c>
    </row>
    <row r="750" spans="1:5" ht="12.9" customHeight="1">
      <c r="A750" s="1094"/>
      <c r="B750" s="444"/>
      <c r="C750" s="444" t="s">
        <v>2641</v>
      </c>
      <c r="D750" s="445">
        <f t="shared" si="11"/>
        <v>14.16</v>
      </c>
      <c r="E750" s="446">
        <v>14160</v>
      </c>
    </row>
    <row r="751" spans="1:5" ht="12.9" customHeight="1">
      <c r="A751" s="1094"/>
      <c r="B751" s="444"/>
      <c r="C751" s="444" t="s">
        <v>2639</v>
      </c>
      <c r="D751" s="445">
        <f t="shared" si="11"/>
        <v>900</v>
      </c>
      <c r="E751" s="446">
        <v>900000</v>
      </c>
    </row>
    <row r="752" spans="1:5" ht="12.9" customHeight="1">
      <c r="A752" s="1094"/>
      <c r="B752" s="444"/>
      <c r="C752" s="444" t="s">
        <v>2674</v>
      </c>
      <c r="D752" s="445">
        <f t="shared" si="11"/>
        <v>20</v>
      </c>
      <c r="E752" s="446">
        <v>20000</v>
      </c>
    </row>
    <row r="753" spans="1:5" ht="12.9" customHeight="1">
      <c r="A753" s="1094"/>
      <c r="B753" s="444" t="s">
        <v>3011</v>
      </c>
      <c r="C753" s="444" t="s">
        <v>2638</v>
      </c>
      <c r="D753" s="445">
        <f t="shared" si="11"/>
        <v>150</v>
      </c>
      <c r="E753" s="446">
        <v>150000</v>
      </c>
    </row>
    <row r="754" spans="1:5" ht="12.9" customHeight="1">
      <c r="A754" s="1094"/>
      <c r="B754" s="444" t="s">
        <v>1954</v>
      </c>
      <c r="C754" s="444" t="s">
        <v>2649</v>
      </c>
      <c r="D754" s="445">
        <f t="shared" si="11"/>
        <v>20</v>
      </c>
      <c r="E754" s="446">
        <v>20000</v>
      </c>
    </row>
    <row r="755" spans="1:5" ht="12.9" customHeight="1">
      <c r="A755" s="1094"/>
      <c r="B755" s="444"/>
      <c r="C755" s="444" t="s">
        <v>2641</v>
      </c>
      <c r="D755" s="445">
        <f t="shared" si="11"/>
        <v>55.192</v>
      </c>
      <c r="E755" s="446">
        <v>55192</v>
      </c>
    </row>
    <row r="756" spans="1:5" ht="12.9" customHeight="1">
      <c r="A756" s="1094"/>
      <c r="B756" s="444"/>
      <c r="C756" s="444" t="s">
        <v>2645</v>
      </c>
      <c r="D756" s="445">
        <f t="shared" si="11"/>
        <v>25</v>
      </c>
      <c r="E756" s="446">
        <v>25000</v>
      </c>
    </row>
    <row r="757" spans="1:5" ht="12.9" customHeight="1">
      <c r="A757" s="1094"/>
      <c r="B757" s="444"/>
      <c r="C757" s="444" t="s">
        <v>2650</v>
      </c>
      <c r="D757" s="445">
        <f t="shared" si="11"/>
        <v>1000</v>
      </c>
      <c r="E757" s="446">
        <v>1000000</v>
      </c>
    </row>
    <row r="758" spans="1:5" ht="12.9" customHeight="1">
      <c r="A758" s="1094"/>
      <c r="B758" s="444"/>
      <c r="C758" s="444" t="s">
        <v>2643</v>
      </c>
      <c r="D758" s="445">
        <f t="shared" si="11"/>
        <v>15</v>
      </c>
      <c r="E758" s="446">
        <v>15000</v>
      </c>
    </row>
    <row r="759" spans="1:5" ht="12.9" customHeight="1">
      <c r="A759" s="1094"/>
      <c r="B759" s="444"/>
      <c r="C759" s="444" t="s">
        <v>2670</v>
      </c>
      <c r="D759" s="445">
        <f t="shared" si="11"/>
        <v>10</v>
      </c>
      <c r="E759" s="446">
        <v>10000</v>
      </c>
    </row>
    <row r="760" spans="1:5" ht="12.9" customHeight="1">
      <c r="A760" s="1095"/>
      <c r="B760" s="444"/>
      <c r="C760" s="444" t="s">
        <v>2651</v>
      </c>
      <c r="D760" s="445">
        <f t="shared" si="11"/>
        <v>30</v>
      </c>
      <c r="E760" s="446">
        <v>30000</v>
      </c>
    </row>
    <row r="761" spans="1:5" ht="12.9" customHeight="1">
      <c r="A761" s="1093" t="s">
        <v>1954</v>
      </c>
      <c r="B761" s="444" t="s">
        <v>1954</v>
      </c>
      <c r="C761" s="444" t="s">
        <v>2662</v>
      </c>
      <c r="D761" s="445">
        <f t="shared" si="11"/>
        <v>28</v>
      </c>
      <c r="E761" s="446">
        <v>28000</v>
      </c>
    </row>
    <row r="762" spans="1:5" ht="12.9" customHeight="1">
      <c r="A762" s="1094"/>
      <c r="B762" s="444"/>
      <c r="C762" s="444" t="s">
        <v>2652</v>
      </c>
      <c r="D762" s="445">
        <f t="shared" si="11"/>
        <v>34.9</v>
      </c>
      <c r="E762" s="446">
        <v>34900</v>
      </c>
    </row>
    <row r="763" spans="1:5" ht="12.9" customHeight="1">
      <c r="A763" s="1094"/>
      <c r="B763" s="444"/>
      <c r="C763" s="444" t="s">
        <v>2638</v>
      </c>
      <c r="D763" s="445">
        <f t="shared" si="11"/>
        <v>150</v>
      </c>
      <c r="E763" s="446">
        <v>150000</v>
      </c>
    </row>
    <row r="764" spans="1:5" ht="12.9" customHeight="1">
      <c r="A764" s="1094"/>
      <c r="B764" s="444"/>
      <c r="C764" s="444" t="s">
        <v>2639</v>
      </c>
      <c r="D764" s="445">
        <f t="shared" si="11"/>
        <v>580</v>
      </c>
      <c r="E764" s="446">
        <v>580000</v>
      </c>
    </row>
    <row r="765" spans="1:5" ht="12.9" customHeight="1">
      <c r="A765" s="1094"/>
      <c r="B765" s="444"/>
      <c r="C765" s="444" t="s">
        <v>2653</v>
      </c>
      <c r="D765" s="445">
        <f t="shared" si="11"/>
        <v>733</v>
      </c>
      <c r="E765" s="446">
        <v>733000</v>
      </c>
    </row>
    <row r="766" spans="1:5" ht="12.9" customHeight="1">
      <c r="A766" s="1094"/>
      <c r="B766" s="444"/>
      <c r="C766" s="444" t="s">
        <v>2654</v>
      </c>
      <c r="D766" s="445">
        <f t="shared" si="11"/>
        <v>500</v>
      </c>
      <c r="E766" s="446">
        <v>500000</v>
      </c>
    </row>
    <row r="767" spans="1:5" ht="12.9" customHeight="1">
      <c r="A767" s="1094"/>
      <c r="B767" s="444"/>
      <c r="C767" s="444" t="s">
        <v>2663</v>
      </c>
      <c r="D767" s="445">
        <f t="shared" si="11"/>
        <v>150</v>
      </c>
      <c r="E767" s="446">
        <v>150000</v>
      </c>
    </row>
    <row r="768" spans="1:5" ht="12.9" customHeight="1">
      <c r="A768" s="1094"/>
      <c r="B768" s="444" t="s">
        <v>3012</v>
      </c>
      <c r="C768" s="444" t="s">
        <v>2641</v>
      </c>
      <c r="D768" s="445">
        <f t="shared" si="11"/>
        <v>51.811999999999998</v>
      </c>
      <c r="E768" s="446">
        <v>51812</v>
      </c>
    </row>
    <row r="769" spans="1:5" ht="12.9" customHeight="1">
      <c r="A769" s="1094"/>
      <c r="B769" s="444"/>
      <c r="C769" s="444" t="s">
        <v>2638</v>
      </c>
      <c r="D769" s="445">
        <f t="shared" si="11"/>
        <v>298</v>
      </c>
      <c r="E769" s="446">
        <v>298000</v>
      </c>
    </row>
    <row r="770" spans="1:5" ht="12.9" customHeight="1">
      <c r="A770" s="1094"/>
      <c r="B770" s="444" t="s">
        <v>3013</v>
      </c>
      <c r="C770" s="444" t="s">
        <v>2641</v>
      </c>
      <c r="D770" s="445">
        <f t="shared" si="11"/>
        <v>101.66500000000001</v>
      </c>
      <c r="E770" s="446">
        <v>101665</v>
      </c>
    </row>
    <row r="771" spans="1:5" ht="12.9" customHeight="1">
      <c r="A771" s="1094"/>
      <c r="B771" s="444"/>
      <c r="C771" s="444" t="s">
        <v>2646</v>
      </c>
      <c r="D771" s="445">
        <f t="shared" si="11"/>
        <v>1000</v>
      </c>
      <c r="E771" s="446">
        <v>1000000</v>
      </c>
    </row>
    <row r="772" spans="1:5" ht="12.9" customHeight="1">
      <c r="A772" s="1094"/>
      <c r="B772" s="444"/>
      <c r="C772" s="444" t="s">
        <v>2638</v>
      </c>
      <c r="D772" s="445">
        <f t="shared" si="11"/>
        <v>220</v>
      </c>
      <c r="E772" s="446">
        <v>220000</v>
      </c>
    </row>
    <row r="773" spans="1:5" ht="12.9" customHeight="1">
      <c r="A773" s="1094"/>
      <c r="B773" s="444" t="s">
        <v>3014</v>
      </c>
      <c r="C773" s="444" t="s">
        <v>2641</v>
      </c>
      <c r="D773" s="445">
        <f t="shared" si="11"/>
        <v>104.328</v>
      </c>
      <c r="E773" s="446">
        <v>104328</v>
      </c>
    </row>
    <row r="774" spans="1:5" ht="12.9" customHeight="1">
      <c r="A774" s="1096"/>
      <c r="B774" s="444" t="s">
        <v>3015</v>
      </c>
      <c r="C774" s="444" t="s">
        <v>2638</v>
      </c>
      <c r="D774" s="445">
        <f t="shared" ref="D774:D782" si="12">E774/1000</f>
        <v>100</v>
      </c>
      <c r="E774" s="446">
        <v>100000</v>
      </c>
    </row>
    <row r="775" spans="1:5" ht="12.9" customHeight="1">
      <c r="A775" s="1094"/>
      <c r="B775" s="444" t="s">
        <v>3016</v>
      </c>
      <c r="C775" s="444" t="s">
        <v>2657</v>
      </c>
      <c r="D775" s="445">
        <f t="shared" si="12"/>
        <v>50</v>
      </c>
      <c r="E775" s="446">
        <v>50000</v>
      </c>
    </row>
    <row r="776" spans="1:5" ht="12.9" customHeight="1">
      <c r="A776" s="1094"/>
      <c r="B776" s="444"/>
      <c r="C776" s="444" t="s">
        <v>2638</v>
      </c>
      <c r="D776" s="445">
        <f t="shared" si="12"/>
        <v>270</v>
      </c>
      <c r="E776" s="446">
        <v>270000</v>
      </c>
    </row>
    <row r="777" spans="1:5" ht="12.9" customHeight="1">
      <c r="A777" s="1094"/>
      <c r="B777" s="444" t="s">
        <v>2631</v>
      </c>
      <c r="C777" s="444" t="s">
        <v>2641</v>
      </c>
      <c r="D777" s="445">
        <f t="shared" si="12"/>
        <v>220.739</v>
      </c>
      <c r="E777" s="446">
        <v>220739</v>
      </c>
    </row>
    <row r="778" spans="1:5" ht="12.9" customHeight="1">
      <c r="A778" s="1094"/>
      <c r="B778" s="444"/>
      <c r="C778" s="444" t="s">
        <v>2638</v>
      </c>
      <c r="D778" s="445">
        <f t="shared" si="12"/>
        <v>160</v>
      </c>
      <c r="E778" s="446">
        <v>160000</v>
      </c>
    </row>
    <row r="779" spans="1:5" ht="12.9" customHeight="1">
      <c r="A779" s="1094"/>
      <c r="B779" s="444" t="s">
        <v>3017</v>
      </c>
      <c r="C779" s="444" t="s">
        <v>2641</v>
      </c>
      <c r="D779" s="445">
        <f t="shared" si="12"/>
        <v>24.507999999999999</v>
      </c>
      <c r="E779" s="446">
        <v>24508</v>
      </c>
    </row>
    <row r="780" spans="1:5" ht="12.9" customHeight="1">
      <c r="A780" s="1095"/>
      <c r="B780" s="444"/>
      <c r="C780" s="444" t="s">
        <v>2638</v>
      </c>
      <c r="D780" s="445">
        <f t="shared" si="12"/>
        <v>150</v>
      </c>
      <c r="E780" s="446">
        <v>150000</v>
      </c>
    </row>
    <row r="781" spans="1:5" ht="12.9" customHeight="1" thickBot="1">
      <c r="A781" s="1097" t="s">
        <v>2632</v>
      </c>
      <c r="B781" s="1098"/>
      <c r="C781" s="450"/>
      <c r="D781" s="451">
        <f t="shared" si="12"/>
        <v>18822.113000000001</v>
      </c>
      <c r="E781" s="452">
        <v>18822113</v>
      </c>
    </row>
    <row r="782" spans="1:5" ht="12.9" customHeight="1" thickBot="1">
      <c r="A782" s="1099" t="s">
        <v>1234</v>
      </c>
      <c r="B782" s="1100"/>
      <c r="C782" s="453"/>
      <c r="D782" s="454">
        <f t="shared" si="12"/>
        <v>153056.61219999997</v>
      </c>
      <c r="E782" s="455">
        <f>153056622.1-9.9</f>
        <v>153056612.19999999</v>
      </c>
    </row>
  </sheetData>
  <mergeCells count="35">
    <mergeCell ref="A116:A152"/>
    <mergeCell ref="A2:D2"/>
    <mergeCell ref="A5:A38"/>
    <mergeCell ref="A39:A76"/>
    <mergeCell ref="A77:A114"/>
    <mergeCell ref="A115:B115"/>
    <mergeCell ref="A432:A456"/>
    <mergeCell ref="A153:A190"/>
    <mergeCell ref="A191:A228"/>
    <mergeCell ref="A229:A266"/>
    <mergeCell ref="A267:A285"/>
    <mergeCell ref="A286:B286"/>
    <mergeCell ref="A287:A304"/>
    <mergeCell ref="A305:A342"/>
    <mergeCell ref="A343:A380"/>
    <mergeCell ref="A381:A418"/>
    <mergeCell ref="A419:A430"/>
    <mergeCell ref="A431:B431"/>
    <mergeCell ref="A694:B694"/>
    <mergeCell ref="A457:A470"/>
    <mergeCell ref="A471:B471"/>
    <mergeCell ref="A472:A494"/>
    <mergeCell ref="A495:A532"/>
    <mergeCell ref="A533:A570"/>
    <mergeCell ref="A571:A608"/>
    <mergeCell ref="A609:A623"/>
    <mergeCell ref="A624:B624"/>
    <mergeCell ref="A625:A646"/>
    <mergeCell ref="A647:A684"/>
    <mergeCell ref="A685:A693"/>
    <mergeCell ref="A695:A722"/>
    <mergeCell ref="A723:A760"/>
    <mergeCell ref="A761:A780"/>
    <mergeCell ref="A781:B781"/>
    <mergeCell ref="A782:B782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3" r:id="rId1"/>
  <headerFooter>
    <oddHeader>&amp;LPříloha č. 16&amp;CZávěrečný účet Plzeňského kraje za rok 2010</oddHeader>
    <oddFooter>&amp;LKrajský úřad Plzeňského kraje
Odbor ekonomický&amp;C&amp;P&amp;R&amp;D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D25"/>
  <sheetViews>
    <sheetView zoomScale="115" zoomScaleNormal="115" workbookViewId="0">
      <selection activeCell="B11" sqref="B11"/>
    </sheetView>
  </sheetViews>
  <sheetFormatPr defaultRowHeight="13.2"/>
  <cols>
    <col min="1" max="1" width="42" style="456" bestFit="1" customWidth="1"/>
    <col min="2" max="2" width="34.88671875" style="456" bestFit="1" customWidth="1"/>
    <col min="3" max="3" width="8.109375" style="456" bestFit="1" customWidth="1"/>
    <col min="4" max="4" width="9.109375" style="456" hidden="1" customWidth="1"/>
    <col min="5" max="256" width="9.109375" style="456"/>
    <col min="257" max="257" width="42" style="456" bestFit="1" customWidth="1"/>
    <col min="258" max="258" width="34.88671875" style="456" bestFit="1" customWidth="1"/>
    <col min="259" max="259" width="8.109375" style="456" bestFit="1" customWidth="1"/>
    <col min="260" max="260" width="0" style="456" hidden="1" customWidth="1"/>
    <col min="261" max="512" width="9.109375" style="456"/>
    <col min="513" max="513" width="42" style="456" bestFit="1" customWidth="1"/>
    <col min="514" max="514" width="34.88671875" style="456" bestFit="1" customWidth="1"/>
    <col min="515" max="515" width="8.109375" style="456" bestFit="1" customWidth="1"/>
    <col min="516" max="516" width="0" style="456" hidden="1" customWidth="1"/>
    <col min="517" max="768" width="9.109375" style="456"/>
    <col min="769" max="769" width="42" style="456" bestFit="1" customWidth="1"/>
    <col min="770" max="770" width="34.88671875" style="456" bestFit="1" customWidth="1"/>
    <col min="771" max="771" width="8.109375" style="456" bestFit="1" customWidth="1"/>
    <col min="772" max="772" width="0" style="456" hidden="1" customWidth="1"/>
    <col min="773" max="1024" width="9.109375" style="456"/>
    <col min="1025" max="1025" width="42" style="456" bestFit="1" customWidth="1"/>
    <col min="1026" max="1026" width="34.88671875" style="456" bestFit="1" customWidth="1"/>
    <col min="1027" max="1027" width="8.109375" style="456" bestFit="1" customWidth="1"/>
    <col min="1028" max="1028" width="0" style="456" hidden="1" customWidth="1"/>
    <col min="1029" max="1280" width="9.109375" style="456"/>
    <col min="1281" max="1281" width="42" style="456" bestFit="1" customWidth="1"/>
    <col min="1282" max="1282" width="34.88671875" style="456" bestFit="1" customWidth="1"/>
    <col min="1283" max="1283" width="8.109375" style="456" bestFit="1" customWidth="1"/>
    <col min="1284" max="1284" width="0" style="456" hidden="1" customWidth="1"/>
    <col min="1285" max="1536" width="9.109375" style="456"/>
    <col min="1537" max="1537" width="42" style="456" bestFit="1" customWidth="1"/>
    <col min="1538" max="1538" width="34.88671875" style="456" bestFit="1" customWidth="1"/>
    <col min="1539" max="1539" width="8.109375" style="456" bestFit="1" customWidth="1"/>
    <col min="1540" max="1540" width="0" style="456" hidden="1" customWidth="1"/>
    <col min="1541" max="1792" width="9.109375" style="456"/>
    <col min="1793" max="1793" width="42" style="456" bestFit="1" customWidth="1"/>
    <col min="1794" max="1794" width="34.88671875" style="456" bestFit="1" customWidth="1"/>
    <col min="1795" max="1795" width="8.109375" style="456" bestFit="1" customWidth="1"/>
    <col min="1796" max="1796" width="0" style="456" hidden="1" customWidth="1"/>
    <col min="1797" max="2048" width="9.109375" style="456"/>
    <col min="2049" max="2049" width="42" style="456" bestFit="1" customWidth="1"/>
    <col min="2050" max="2050" width="34.88671875" style="456" bestFit="1" customWidth="1"/>
    <col min="2051" max="2051" width="8.109375" style="456" bestFit="1" customWidth="1"/>
    <col min="2052" max="2052" width="0" style="456" hidden="1" customWidth="1"/>
    <col min="2053" max="2304" width="9.109375" style="456"/>
    <col min="2305" max="2305" width="42" style="456" bestFit="1" customWidth="1"/>
    <col min="2306" max="2306" width="34.88671875" style="456" bestFit="1" customWidth="1"/>
    <col min="2307" max="2307" width="8.109375" style="456" bestFit="1" customWidth="1"/>
    <col min="2308" max="2308" width="0" style="456" hidden="1" customWidth="1"/>
    <col min="2309" max="2560" width="9.109375" style="456"/>
    <col min="2561" max="2561" width="42" style="456" bestFit="1" customWidth="1"/>
    <col min="2562" max="2562" width="34.88671875" style="456" bestFit="1" customWidth="1"/>
    <col min="2563" max="2563" width="8.109375" style="456" bestFit="1" customWidth="1"/>
    <col min="2564" max="2564" width="0" style="456" hidden="1" customWidth="1"/>
    <col min="2565" max="2816" width="9.109375" style="456"/>
    <col min="2817" max="2817" width="42" style="456" bestFit="1" customWidth="1"/>
    <col min="2818" max="2818" width="34.88671875" style="456" bestFit="1" customWidth="1"/>
    <col min="2819" max="2819" width="8.109375" style="456" bestFit="1" customWidth="1"/>
    <col min="2820" max="2820" width="0" style="456" hidden="1" customWidth="1"/>
    <col min="2821" max="3072" width="9.109375" style="456"/>
    <col min="3073" max="3073" width="42" style="456" bestFit="1" customWidth="1"/>
    <col min="3074" max="3074" width="34.88671875" style="456" bestFit="1" customWidth="1"/>
    <col min="3075" max="3075" width="8.109375" style="456" bestFit="1" customWidth="1"/>
    <col min="3076" max="3076" width="0" style="456" hidden="1" customWidth="1"/>
    <col min="3077" max="3328" width="9.109375" style="456"/>
    <col min="3329" max="3329" width="42" style="456" bestFit="1" customWidth="1"/>
    <col min="3330" max="3330" width="34.88671875" style="456" bestFit="1" customWidth="1"/>
    <col min="3331" max="3331" width="8.109375" style="456" bestFit="1" customWidth="1"/>
    <col min="3332" max="3332" width="0" style="456" hidden="1" customWidth="1"/>
    <col min="3333" max="3584" width="9.109375" style="456"/>
    <col min="3585" max="3585" width="42" style="456" bestFit="1" customWidth="1"/>
    <col min="3586" max="3586" width="34.88671875" style="456" bestFit="1" customWidth="1"/>
    <col min="3587" max="3587" width="8.109375" style="456" bestFit="1" customWidth="1"/>
    <col min="3588" max="3588" width="0" style="456" hidden="1" customWidth="1"/>
    <col min="3589" max="3840" width="9.109375" style="456"/>
    <col min="3841" max="3841" width="42" style="456" bestFit="1" customWidth="1"/>
    <col min="3842" max="3842" width="34.88671875" style="456" bestFit="1" customWidth="1"/>
    <col min="3843" max="3843" width="8.109375" style="456" bestFit="1" customWidth="1"/>
    <col min="3844" max="3844" width="0" style="456" hidden="1" customWidth="1"/>
    <col min="3845" max="4096" width="9.109375" style="456"/>
    <col min="4097" max="4097" width="42" style="456" bestFit="1" customWidth="1"/>
    <col min="4098" max="4098" width="34.88671875" style="456" bestFit="1" customWidth="1"/>
    <col min="4099" max="4099" width="8.109375" style="456" bestFit="1" customWidth="1"/>
    <col min="4100" max="4100" width="0" style="456" hidden="1" customWidth="1"/>
    <col min="4101" max="4352" width="9.109375" style="456"/>
    <col min="4353" max="4353" width="42" style="456" bestFit="1" customWidth="1"/>
    <col min="4354" max="4354" width="34.88671875" style="456" bestFit="1" customWidth="1"/>
    <col min="4355" max="4355" width="8.109375" style="456" bestFit="1" customWidth="1"/>
    <col min="4356" max="4356" width="0" style="456" hidden="1" customWidth="1"/>
    <col min="4357" max="4608" width="9.109375" style="456"/>
    <col min="4609" max="4609" width="42" style="456" bestFit="1" customWidth="1"/>
    <col min="4610" max="4610" width="34.88671875" style="456" bestFit="1" customWidth="1"/>
    <col min="4611" max="4611" width="8.109375" style="456" bestFit="1" customWidth="1"/>
    <col min="4612" max="4612" width="0" style="456" hidden="1" customWidth="1"/>
    <col min="4613" max="4864" width="9.109375" style="456"/>
    <col min="4865" max="4865" width="42" style="456" bestFit="1" customWidth="1"/>
    <col min="4866" max="4866" width="34.88671875" style="456" bestFit="1" customWidth="1"/>
    <col min="4867" max="4867" width="8.109375" style="456" bestFit="1" customWidth="1"/>
    <col min="4868" max="4868" width="0" style="456" hidden="1" customWidth="1"/>
    <col min="4869" max="5120" width="9.109375" style="456"/>
    <col min="5121" max="5121" width="42" style="456" bestFit="1" customWidth="1"/>
    <col min="5122" max="5122" width="34.88671875" style="456" bestFit="1" customWidth="1"/>
    <col min="5123" max="5123" width="8.109375" style="456" bestFit="1" customWidth="1"/>
    <col min="5124" max="5124" width="0" style="456" hidden="1" customWidth="1"/>
    <col min="5125" max="5376" width="9.109375" style="456"/>
    <col min="5377" max="5377" width="42" style="456" bestFit="1" customWidth="1"/>
    <col min="5378" max="5378" width="34.88671875" style="456" bestFit="1" customWidth="1"/>
    <col min="5379" max="5379" width="8.109375" style="456" bestFit="1" customWidth="1"/>
    <col min="5380" max="5380" width="0" style="456" hidden="1" customWidth="1"/>
    <col min="5381" max="5632" width="9.109375" style="456"/>
    <col min="5633" max="5633" width="42" style="456" bestFit="1" customWidth="1"/>
    <col min="5634" max="5634" width="34.88671875" style="456" bestFit="1" customWidth="1"/>
    <col min="5635" max="5635" width="8.109375" style="456" bestFit="1" customWidth="1"/>
    <col min="5636" max="5636" width="0" style="456" hidden="1" customWidth="1"/>
    <col min="5637" max="5888" width="9.109375" style="456"/>
    <col min="5889" max="5889" width="42" style="456" bestFit="1" customWidth="1"/>
    <col min="5890" max="5890" width="34.88671875" style="456" bestFit="1" customWidth="1"/>
    <col min="5891" max="5891" width="8.109375" style="456" bestFit="1" customWidth="1"/>
    <col min="5892" max="5892" width="0" style="456" hidden="1" customWidth="1"/>
    <col min="5893" max="6144" width="9.109375" style="456"/>
    <col min="6145" max="6145" width="42" style="456" bestFit="1" customWidth="1"/>
    <col min="6146" max="6146" width="34.88671875" style="456" bestFit="1" customWidth="1"/>
    <col min="6147" max="6147" width="8.109375" style="456" bestFit="1" customWidth="1"/>
    <col min="6148" max="6148" width="0" style="456" hidden="1" customWidth="1"/>
    <col min="6149" max="6400" width="9.109375" style="456"/>
    <col min="6401" max="6401" width="42" style="456" bestFit="1" customWidth="1"/>
    <col min="6402" max="6402" width="34.88671875" style="456" bestFit="1" customWidth="1"/>
    <col min="6403" max="6403" width="8.109375" style="456" bestFit="1" customWidth="1"/>
    <col min="6404" max="6404" width="0" style="456" hidden="1" customWidth="1"/>
    <col min="6405" max="6656" width="9.109375" style="456"/>
    <col min="6657" max="6657" width="42" style="456" bestFit="1" customWidth="1"/>
    <col min="6658" max="6658" width="34.88671875" style="456" bestFit="1" customWidth="1"/>
    <col min="6659" max="6659" width="8.109375" style="456" bestFit="1" customWidth="1"/>
    <col min="6660" max="6660" width="0" style="456" hidden="1" customWidth="1"/>
    <col min="6661" max="6912" width="9.109375" style="456"/>
    <col min="6913" max="6913" width="42" style="456" bestFit="1" customWidth="1"/>
    <col min="6914" max="6914" width="34.88671875" style="456" bestFit="1" customWidth="1"/>
    <col min="6915" max="6915" width="8.109375" style="456" bestFit="1" customWidth="1"/>
    <col min="6916" max="6916" width="0" style="456" hidden="1" customWidth="1"/>
    <col min="6917" max="7168" width="9.109375" style="456"/>
    <col min="7169" max="7169" width="42" style="456" bestFit="1" customWidth="1"/>
    <col min="7170" max="7170" width="34.88671875" style="456" bestFit="1" customWidth="1"/>
    <col min="7171" max="7171" width="8.109375" style="456" bestFit="1" customWidth="1"/>
    <col min="7172" max="7172" width="0" style="456" hidden="1" customWidth="1"/>
    <col min="7173" max="7424" width="9.109375" style="456"/>
    <col min="7425" max="7425" width="42" style="456" bestFit="1" customWidth="1"/>
    <col min="7426" max="7426" width="34.88671875" style="456" bestFit="1" customWidth="1"/>
    <col min="7427" max="7427" width="8.109375" style="456" bestFit="1" customWidth="1"/>
    <col min="7428" max="7428" width="0" style="456" hidden="1" customWidth="1"/>
    <col min="7429" max="7680" width="9.109375" style="456"/>
    <col min="7681" max="7681" width="42" style="456" bestFit="1" customWidth="1"/>
    <col min="7682" max="7682" width="34.88671875" style="456" bestFit="1" customWidth="1"/>
    <col min="7683" max="7683" width="8.109375" style="456" bestFit="1" customWidth="1"/>
    <col min="7684" max="7684" width="0" style="456" hidden="1" customWidth="1"/>
    <col min="7685" max="7936" width="9.109375" style="456"/>
    <col min="7937" max="7937" width="42" style="456" bestFit="1" customWidth="1"/>
    <col min="7938" max="7938" width="34.88671875" style="456" bestFit="1" customWidth="1"/>
    <col min="7939" max="7939" width="8.109375" style="456" bestFit="1" customWidth="1"/>
    <col min="7940" max="7940" width="0" style="456" hidden="1" customWidth="1"/>
    <col min="7941" max="8192" width="9.109375" style="456"/>
    <col min="8193" max="8193" width="42" style="456" bestFit="1" customWidth="1"/>
    <col min="8194" max="8194" width="34.88671875" style="456" bestFit="1" customWidth="1"/>
    <col min="8195" max="8195" width="8.109375" style="456" bestFit="1" customWidth="1"/>
    <col min="8196" max="8196" width="0" style="456" hidden="1" customWidth="1"/>
    <col min="8197" max="8448" width="9.109375" style="456"/>
    <col min="8449" max="8449" width="42" style="456" bestFit="1" customWidth="1"/>
    <col min="8450" max="8450" width="34.88671875" style="456" bestFit="1" customWidth="1"/>
    <col min="8451" max="8451" width="8.109375" style="456" bestFit="1" customWidth="1"/>
    <col min="8452" max="8452" width="0" style="456" hidden="1" customWidth="1"/>
    <col min="8453" max="8704" width="9.109375" style="456"/>
    <col min="8705" max="8705" width="42" style="456" bestFit="1" customWidth="1"/>
    <col min="8706" max="8706" width="34.88671875" style="456" bestFit="1" customWidth="1"/>
    <col min="8707" max="8707" width="8.109375" style="456" bestFit="1" customWidth="1"/>
    <col min="8708" max="8708" width="0" style="456" hidden="1" customWidth="1"/>
    <col min="8709" max="8960" width="9.109375" style="456"/>
    <col min="8961" max="8961" width="42" style="456" bestFit="1" customWidth="1"/>
    <col min="8962" max="8962" width="34.88671875" style="456" bestFit="1" customWidth="1"/>
    <col min="8963" max="8963" width="8.109375" style="456" bestFit="1" customWidth="1"/>
    <col min="8964" max="8964" width="0" style="456" hidden="1" customWidth="1"/>
    <col min="8965" max="9216" width="9.109375" style="456"/>
    <col min="9217" max="9217" width="42" style="456" bestFit="1" customWidth="1"/>
    <col min="9218" max="9218" width="34.88671875" style="456" bestFit="1" customWidth="1"/>
    <col min="9219" max="9219" width="8.109375" style="456" bestFit="1" customWidth="1"/>
    <col min="9220" max="9220" width="0" style="456" hidden="1" customWidth="1"/>
    <col min="9221" max="9472" width="9.109375" style="456"/>
    <col min="9473" max="9473" width="42" style="456" bestFit="1" customWidth="1"/>
    <col min="9474" max="9474" width="34.88671875" style="456" bestFit="1" customWidth="1"/>
    <col min="9475" max="9475" width="8.109375" style="456" bestFit="1" customWidth="1"/>
    <col min="9476" max="9476" width="0" style="456" hidden="1" customWidth="1"/>
    <col min="9477" max="9728" width="9.109375" style="456"/>
    <col min="9729" max="9729" width="42" style="456" bestFit="1" customWidth="1"/>
    <col min="9730" max="9730" width="34.88671875" style="456" bestFit="1" customWidth="1"/>
    <col min="9731" max="9731" width="8.109375" style="456" bestFit="1" customWidth="1"/>
    <col min="9732" max="9732" width="0" style="456" hidden="1" customWidth="1"/>
    <col min="9733" max="9984" width="9.109375" style="456"/>
    <col min="9985" max="9985" width="42" style="456" bestFit="1" customWidth="1"/>
    <col min="9986" max="9986" width="34.88671875" style="456" bestFit="1" customWidth="1"/>
    <col min="9987" max="9987" width="8.109375" style="456" bestFit="1" customWidth="1"/>
    <col min="9988" max="9988" width="0" style="456" hidden="1" customWidth="1"/>
    <col min="9989" max="10240" width="9.109375" style="456"/>
    <col min="10241" max="10241" width="42" style="456" bestFit="1" customWidth="1"/>
    <col min="10242" max="10242" width="34.88671875" style="456" bestFit="1" customWidth="1"/>
    <col min="10243" max="10243" width="8.109375" style="456" bestFit="1" customWidth="1"/>
    <col min="10244" max="10244" width="0" style="456" hidden="1" customWidth="1"/>
    <col min="10245" max="10496" width="9.109375" style="456"/>
    <col min="10497" max="10497" width="42" style="456" bestFit="1" customWidth="1"/>
    <col min="10498" max="10498" width="34.88671875" style="456" bestFit="1" customWidth="1"/>
    <col min="10499" max="10499" width="8.109375" style="456" bestFit="1" customWidth="1"/>
    <col min="10500" max="10500" width="0" style="456" hidden="1" customWidth="1"/>
    <col min="10501" max="10752" width="9.109375" style="456"/>
    <col min="10753" max="10753" width="42" style="456" bestFit="1" customWidth="1"/>
    <col min="10754" max="10754" width="34.88671875" style="456" bestFit="1" customWidth="1"/>
    <col min="10755" max="10755" width="8.109375" style="456" bestFit="1" customWidth="1"/>
    <col min="10756" max="10756" width="0" style="456" hidden="1" customWidth="1"/>
    <col min="10757" max="11008" width="9.109375" style="456"/>
    <col min="11009" max="11009" width="42" style="456" bestFit="1" customWidth="1"/>
    <col min="11010" max="11010" width="34.88671875" style="456" bestFit="1" customWidth="1"/>
    <col min="11011" max="11011" width="8.109375" style="456" bestFit="1" customWidth="1"/>
    <col min="11012" max="11012" width="0" style="456" hidden="1" customWidth="1"/>
    <col min="11013" max="11264" width="9.109375" style="456"/>
    <col min="11265" max="11265" width="42" style="456" bestFit="1" customWidth="1"/>
    <col min="11266" max="11266" width="34.88671875" style="456" bestFit="1" customWidth="1"/>
    <col min="11267" max="11267" width="8.109375" style="456" bestFit="1" customWidth="1"/>
    <col min="11268" max="11268" width="0" style="456" hidden="1" customWidth="1"/>
    <col min="11269" max="11520" width="9.109375" style="456"/>
    <col min="11521" max="11521" width="42" style="456" bestFit="1" customWidth="1"/>
    <col min="11522" max="11522" width="34.88671875" style="456" bestFit="1" customWidth="1"/>
    <col min="11523" max="11523" width="8.109375" style="456" bestFit="1" customWidth="1"/>
    <col min="11524" max="11524" width="0" style="456" hidden="1" customWidth="1"/>
    <col min="11525" max="11776" width="9.109375" style="456"/>
    <col min="11777" max="11777" width="42" style="456" bestFit="1" customWidth="1"/>
    <col min="11778" max="11778" width="34.88671875" style="456" bestFit="1" customWidth="1"/>
    <col min="11779" max="11779" width="8.109375" style="456" bestFit="1" customWidth="1"/>
    <col min="11780" max="11780" width="0" style="456" hidden="1" customWidth="1"/>
    <col min="11781" max="12032" width="9.109375" style="456"/>
    <col min="12033" max="12033" width="42" style="456" bestFit="1" customWidth="1"/>
    <col min="12034" max="12034" width="34.88671875" style="456" bestFit="1" customWidth="1"/>
    <col min="12035" max="12035" width="8.109375" style="456" bestFit="1" customWidth="1"/>
    <col min="12036" max="12036" width="0" style="456" hidden="1" customWidth="1"/>
    <col min="12037" max="12288" width="9.109375" style="456"/>
    <col min="12289" max="12289" width="42" style="456" bestFit="1" customWidth="1"/>
    <col min="12290" max="12290" width="34.88671875" style="456" bestFit="1" customWidth="1"/>
    <col min="12291" max="12291" width="8.109375" style="456" bestFit="1" customWidth="1"/>
    <col min="12292" max="12292" width="0" style="456" hidden="1" customWidth="1"/>
    <col min="12293" max="12544" width="9.109375" style="456"/>
    <col min="12545" max="12545" width="42" style="456" bestFit="1" customWidth="1"/>
    <col min="12546" max="12546" width="34.88671875" style="456" bestFit="1" customWidth="1"/>
    <col min="12547" max="12547" width="8.109375" style="456" bestFit="1" customWidth="1"/>
    <col min="12548" max="12548" width="0" style="456" hidden="1" customWidth="1"/>
    <col min="12549" max="12800" width="9.109375" style="456"/>
    <col min="12801" max="12801" width="42" style="456" bestFit="1" customWidth="1"/>
    <col min="12802" max="12802" width="34.88671875" style="456" bestFit="1" customWidth="1"/>
    <col min="12803" max="12803" width="8.109375" style="456" bestFit="1" customWidth="1"/>
    <col min="12804" max="12804" width="0" style="456" hidden="1" customWidth="1"/>
    <col min="12805" max="13056" width="9.109375" style="456"/>
    <col min="13057" max="13057" width="42" style="456" bestFit="1" customWidth="1"/>
    <col min="13058" max="13058" width="34.88671875" style="456" bestFit="1" customWidth="1"/>
    <col min="13059" max="13059" width="8.109375" style="456" bestFit="1" customWidth="1"/>
    <col min="13060" max="13060" width="0" style="456" hidden="1" customWidth="1"/>
    <col min="13061" max="13312" width="9.109375" style="456"/>
    <col min="13313" max="13313" width="42" style="456" bestFit="1" customWidth="1"/>
    <col min="13314" max="13314" width="34.88671875" style="456" bestFit="1" customWidth="1"/>
    <col min="13315" max="13315" width="8.109375" style="456" bestFit="1" customWidth="1"/>
    <col min="13316" max="13316" width="0" style="456" hidden="1" customWidth="1"/>
    <col min="13317" max="13568" width="9.109375" style="456"/>
    <col min="13569" max="13569" width="42" style="456" bestFit="1" customWidth="1"/>
    <col min="13570" max="13570" width="34.88671875" style="456" bestFit="1" customWidth="1"/>
    <col min="13571" max="13571" width="8.109375" style="456" bestFit="1" customWidth="1"/>
    <col min="13572" max="13572" width="0" style="456" hidden="1" customWidth="1"/>
    <col min="13573" max="13824" width="9.109375" style="456"/>
    <col min="13825" max="13825" width="42" style="456" bestFit="1" customWidth="1"/>
    <col min="13826" max="13826" width="34.88671875" style="456" bestFit="1" customWidth="1"/>
    <col min="13827" max="13827" width="8.109375" style="456" bestFit="1" customWidth="1"/>
    <col min="13828" max="13828" width="0" style="456" hidden="1" customWidth="1"/>
    <col min="13829" max="14080" width="9.109375" style="456"/>
    <col min="14081" max="14081" width="42" style="456" bestFit="1" customWidth="1"/>
    <col min="14082" max="14082" width="34.88671875" style="456" bestFit="1" customWidth="1"/>
    <col min="14083" max="14083" width="8.109375" style="456" bestFit="1" customWidth="1"/>
    <col min="14084" max="14084" width="0" style="456" hidden="1" customWidth="1"/>
    <col min="14085" max="14336" width="9.109375" style="456"/>
    <col min="14337" max="14337" width="42" style="456" bestFit="1" customWidth="1"/>
    <col min="14338" max="14338" width="34.88671875" style="456" bestFit="1" customWidth="1"/>
    <col min="14339" max="14339" width="8.109375" style="456" bestFit="1" customWidth="1"/>
    <col min="14340" max="14340" width="0" style="456" hidden="1" customWidth="1"/>
    <col min="14341" max="14592" width="9.109375" style="456"/>
    <col min="14593" max="14593" width="42" style="456" bestFit="1" customWidth="1"/>
    <col min="14594" max="14594" width="34.88671875" style="456" bestFit="1" customWidth="1"/>
    <col min="14595" max="14595" width="8.109375" style="456" bestFit="1" customWidth="1"/>
    <col min="14596" max="14596" width="0" style="456" hidden="1" customWidth="1"/>
    <col min="14597" max="14848" width="9.109375" style="456"/>
    <col min="14849" max="14849" width="42" style="456" bestFit="1" customWidth="1"/>
    <col min="14850" max="14850" width="34.88671875" style="456" bestFit="1" customWidth="1"/>
    <col min="14851" max="14851" width="8.109375" style="456" bestFit="1" customWidth="1"/>
    <col min="14852" max="14852" width="0" style="456" hidden="1" customWidth="1"/>
    <col min="14853" max="15104" width="9.109375" style="456"/>
    <col min="15105" max="15105" width="42" style="456" bestFit="1" customWidth="1"/>
    <col min="15106" max="15106" width="34.88671875" style="456" bestFit="1" customWidth="1"/>
    <col min="15107" max="15107" width="8.109375" style="456" bestFit="1" customWidth="1"/>
    <col min="15108" max="15108" width="0" style="456" hidden="1" customWidth="1"/>
    <col min="15109" max="15360" width="9.109375" style="456"/>
    <col min="15361" max="15361" width="42" style="456" bestFit="1" customWidth="1"/>
    <col min="15362" max="15362" width="34.88671875" style="456" bestFit="1" customWidth="1"/>
    <col min="15363" max="15363" width="8.109375" style="456" bestFit="1" customWidth="1"/>
    <col min="15364" max="15364" width="0" style="456" hidden="1" customWidth="1"/>
    <col min="15365" max="15616" width="9.109375" style="456"/>
    <col min="15617" max="15617" width="42" style="456" bestFit="1" customWidth="1"/>
    <col min="15618" max="15618" width="34.88671875" style="456" bestFit="1" customWidth="1"/>
    <col min="15619" max="15619" width="8.109375" style="456" bestFit="1" customWidth="1"/>
    <col min="15620" max="15620" width="0" style="456" hidden="1" customWidth="1"/>
    <col min="15621" max="15872" width="9.109375" style="456"/>
    <col min="15873" max="15873" width="42" style="456" bestFit="1" customWidth="1"/>
    <col min="15874" max="15874" width="34.88671875" style="456" bestFit="1" customWidth="1"/>
    <col min="15875" max="15875" width="8.109375" style="456" bestFit="1" customWidth="1"/>
    <col min="15876" max="15876" width="0" style="456" hidden="1" customWidth="1"/>
    <col min="15877" max="16128" width="9.109375" style="456"/>
    <col min="16129" max="16129" width="42" style="456" bestFit="1" customWidth="1"/>
    <col min="16130" max="16130" width="34.88671875" style="456" bestFit="1" customWidth="1"/>
    <col min="16131" max="16131" width="8.109375" style="456" bestFit="1" customWidth="1"/>
    <col min="16132" max="16132" width="0" style="456" hidden="1" customWidth="1"/>
    <col min="16133" max="16384" width="9.109375" style="456"/>
  </cols>
  <sheetData>
    <row r="2" spans="1:4" ht="15.6">
      <c r="A2" s="1108" t="s">
        <v>3018</v>
      </c>
      <c r="B2" s="1108"/>
      <c r="C2" s="1108"/>
    </row>
    <row r="3" spans="1:4" ht="16.2" thickBot="1">
      <c r="A3" s="457"/>
      <c r="B3" s="457"/>
      <c r="C3" s="457"/>
    </row>
    <row r="4" spans="1:4" ht="13.8" thickBot="1">
      <c r="A4" s="458" t="s">
        <v>1576</v>
      </c>
      <c r="B4" s="459" t="s">
        <v>1577</v>
      </c>
      <c r="C4" s="460" t="s">
        <v>1128</v>
      </c>
      <c r="D4" s="461" t="s">
        <v>1128</v>
      </c>
    </row>
    <row r="5" spans="1:4" ht="12.9" customHeight="1">
      <c r="A5" s="462" t="s">
        <v>3019</v>
      </c>
      <c r="B5" s="463" t="s">
        <v>3020</v>
      </c>
      <c r="C5" s="464">
        <f t="shared" ref="C5:C18" si="0">D5/1000</f>
        <v>201</v>
      </c>
      <c r="D5" s="465">
        <v>201000</v>
      </c>
    </row>
    <row r="6" spans="1:4" ht="20.399999999999999">
      <c r="A6" s="466" t="s">
        <v>3021</v>
      </c>
      <c r="B6" s="467" t="s">
        <v>2646</v>
      </c>
      <c r="C6" s="468">
        <f t="shared" si="0"/>
        <v>2000</v>
      </c>
      <c r="D6" s="465">
        <v>2000000</v>
      </c>
    </row>
    <row r="7" spans="1:4" ht="12.9" customHeight="1">
      <c r="A7" s="469" t="s">
        <v>3022</v>
      </c>
      <c r="B7" s="470" t="s">
        <v>2638</v>
      </c>
      <c r="C7" s="471">
        <f t="shared" si="0"/>
        <v>120</v>
      </c>
      <c r="D7" s="465">
        <v>120000</v>
      </c>
    </row>
    <row r="8" spans="1:4" ht="12.9" customHeight="1">
      <c r="A8" s="466" t="s">
        <v>3023</v>
      </c>
      <c r="B8" s="472" t="s">
        <v>2638</v>
      </c>
      <c r="C8" s="468">
        <f t="shared" si="0"/>
        <v>270</v>
      </c>
      <c r="D8" s="465">
        <v>270000</v>
      </c>
    </row>
    <row r="9" spans="1:4" ht="12.9" customHeight="1">
      <c r="A9" s="469" t="s">
        <v>3024</v>
      </c>
      <c r="B9" s="470" t="s">
        <v>2638</v>
      </c>
      <c r="C9" s="471">
        <f t="shared" si="0"/>
        <v>300</v>
      </c>
      <c r="D9" s="465">
        <v>300000</v>
      </c>
    </row>
    <row r="10" spans="1:4" ht="12.9" customHeight="1">
      <c r="A10" s="466" t="s">
        <v>3025</v>
      </c>
      <c r="B10" s="472" t="s">
        <v>2638</v>
      </c>
      <c r="C10" s="468">
        <f t="shared" si="0"/>
        <v>200</v>
      </c>
      <c r="D10" s="465">
        <v>200000</v>
      </c>
    </row>
    <row r="11" spans="1:4" ht="12.9" customHeight="1">
      <c r="A11" s="469" t="s">
        <v>3026</v>
      </c>
      <c r="B11" s="470" t="s">
        <v>2638</v>
      </c>
      <c r="C11" s="471">
        <f t="shared" si="0"/>
        <v>275</v>
      </c>
      <c r="D11" s="465">
        <v>275000</v>
      </c>
    </row>
    <row r="12" spans="1:4" ht="12.9" customHeight="1">
      <c r="A12" s="466" t="s">
        <v>3027</v>
      </c>
      <c r="B12" s="472" t="s">
        <v>2638</v>
      </c>
      <c r="C12" s="468">
        <f t="shared" si="0"/>
        <v>275</v>
      </c>
      <c r="D12" s="465">
        <v>275000</v>
      </c>
    </row>
    <row r="13" spans="1:4" ht="12.9" customHeight="1">
      <c r="A13" s="469" t="s">
        <v>3028</v>
      </c>
      <c r="B13" s="470" t="s">
        <v>2638</v>
      </c>
      <c r="C13" s="471">
        <f t="shared" si="0"/>
        <v>230</v>
      </c>
      <c r="D13" s="465">
        <v>230000</v>
      </c>
    </row>
    <row r="14" spans="1:4" ht="12.9" customHeight="1">
      <c r="A14" s="466" t="s">
        <v>3029</v>
      </c>
      <c r="B14" s="472" t="s">
        <v>2638</v>
      </c>
      <c r="C14" s="468">
        <f t="shared" si="0"/>
        <v>280</v>
      </c>
      <c r="D14" s="465">
        <v>280000</v>
      </c>
    </row>
    <row r="15" spans="1:4" ht="12.9" customHeight="1">
      <c r="A15" s="469" t="s">
        <v>3030</v>
      </c>
      <c r="B15" s="470" t="s">
        <v>2638</v>
      </c>
      <c r="C15" s="471">
        <f t="shared" si="0"/>
        <v>250</v>
      </c>
      <c r="D15" s="465">
        <v>250000</v>
      </c>
    </row>
    <row r="16" spans="1:4" ht="12.9" customHeight="1">
      <c r="A16" s="466" t="s">
        <v>3031</v>
      </c>
      <c r="B16" s="472" t="s">
        <v>2638</v>
      </c>
      <c r="C16" s="468">
        <f t="shared" si="0"/>
        <v>300</v>
      </c>
      <c r="D16" s="465">
        <v>300000</v>
      </c>
    </row>
    <row r="17" spans="1:4" ht="12.9" customHeight="1">
      <c r="A17" s="473" t="s">
        <v>3032</v>
      </c>
      <c r="B17" s="474" t="s">
        <v>2638</v>
      </c>
      <c r="C17" s="475">
        <f t="shared" si="0"/>
        <v>140</v>
      </c>
      <c r="D17" s="465">
        <v>140000</v>
      </c>
    </row>
    <row r="18" spans="1:4" ht="12.9" customHeight="1" thickBot="1">
      <c r="A18" s="469" t="s">
        <v>3033</v>
      </c>
      <c r="B18" s="476" t="s">
        <v>2657</v>
      </c>
      <c r="C18" s="471">
        <f t="shared" si="0"/>
        <v>100</v>
      </c>
      <c r="D18" s="465">
        <v>100000</v>
      </c>
    </row>
    <row r="19" spans="1:4" ht="12.9" customHeight="1" thickBot="1">
      <c r="A19" s="1109" t="s">
        <v>1234</v>
      </c>
      <c r="B19" s="1110"/>
      <c r="C19" s="477">
        <f>D19/1000</f>
        <v>4941</v>
      </c>
      <c r="D19" s="478">
        <f>7341000-2400000</f>
        <v>4941000</v>
      </c>
    </row>
    <row r="21" spans="1:4">
      <c r="A21" s="479" t="s">
        <v>3034</v>
      </c>
    </row>
    <row r="22" spans="1:4">
      <c r="A22" s="1111" t="s">
        <v>3035</v>
      </c>
      <c r="B22" s="1111"/>
      <c r="C22" s="480"/>
    </row>
    <row r="23" spans="1:4">
      <c r="A23" s="1112"/>
      <c r="B23" s="1112"/>
      <c r="C23" s="481"/>
    </row>
    <row r="24" spans="1:4">
      <c r="A24" s="1112"/>
      <c r="B24" s="1112"/>
      <c r="C24" s="481"/>
    </row>
    <row r="25" spans="1:4">
      <c r="B25" s="482"/>
      <c r="C25" s="482"/>
    </row>
  </sheetData>
  <mergeCells count="3">
    <mergeCell ref="A2:C2"/>
    <mergeCell ref="A19:B19"/>
    <mergeCell ref="A22:B24"/>
  </mergeCells>
  <pageMargins left="0.7" right="0.7" top="0.78740157499999996" bottom="0.78740157499999996" header="0.3" footer="0.3"/>
  <pageSetup paperSize="9" orientation="portrait" horizontalDpi="4294967293" r:id="rId1"/>
  <headerFooter>
    <oddHeader>&amp;LPříloha č. 17&amp;CZávěrečný účet Plzeňského kraje za rok 2010</oddHeader>
    <oddFooter>&amp;LKrajský úřad Plzeňského kraje
Odbor ekonomický&amp;C&amp;P&amp;R&amp;D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47"/>
  <sheetViews>
    <sheetView zoomScaleNormal="100" zoomScaleSheetLayoutView="100" workbookViewId="0">
      <selection activeCell="H26" sqref="H26"/>
    </sheetView>
  </sheetViews>
  <sheetFormatPr defaultRowHeight="13.2"/>
  <cols>
    <col min="1" max="1" width="4.33203125" style="483" customWidth="1"/>
    <col min="2" max="2" width="25.33203125" style="483" customWidth="1"/>
    <col min="3" max="3" width="45.6640625" style="483" customWidth="1"/>
    <col min="4" max="4" width="10.44140625" style="483" customWidth="1"/>
    <col min="5" max="5" width="0" style="483" hidden="1" customWidth="1"/>
    <col min="6" max="256" width="9.109375" style="483"/>
    <col min="257" max="257" width="4.33203125" style="483" customWidth="1"/>
    <col min="258" max="258" width="25.33203125" style="483" customWidth="1"/>
    <col min="259" max="259" width="45.6640625" style="483" customWidth="1"/>
    <col min="260" max="260" width="10.44140625" style="483" customWidth="1"/>
    <col min="261" max="261" width="0" style="483" hidden="1" customWidth="1"/>
    <col min="262" max="512" width="9.109375" style="483"/>
    <col min="513" max="513" width="4.33203125" style="483" customWidth="1"/>
    <col min="514" max="514" width="25.33203125" style="483" customWidth="1"/>
    <col min="515" max="515" width="45.6640625" style="483" customWidth="1"/>
    <col min="516" max="516" width="10.44140625" style="483" customWidth="1"/>
    <col min="517" max="517" width="0" style="483" hidden="1" customWidth="1"/>
    <col min="518" max="768" width="9.109375" style="483"/>
    <col min="769" max="769" width="4.33203125" style="483" customWidth="1"/>
    <col min="770" max="770" width="25.33203125" style="483" customWidth="1"/>
    <col min="771" max="771" width="45.6640625" style="483" customWidth="1"/>
    <col min="772" max="772" width="10.44140625" style="483" customWidth="1"/>
    <col min="773" max="773" width="0" style="483" hidden="1" customWidth="1"/>
    <col min="774" max="1024" width="9.109375" style="483"/>
    <col min="1025" max="1025" width="4.33203125" style="483" customWidth="1"/>
    <col min="1026" max="1026" width="25.33203125" style="483" customWidth="1"/>
    <col min="1027" max="1027" width="45.6640625" style="483" customWidth="1"/>
    <col min="1028" max="1028" width="10.44140625" style="483" customWidth="1"/>
    <col min="1029" max="1029" width="0" style="483" hidden="1" customWidth="1"/>
    <col min="1030" max="1280" width="9.109375" style="483"/>
    <col min="1281" max="1281" width="4.33203125" style="483" customWidth="1"/>
    <col min="1282" max="1282" width="25.33203125" style="483" customWidth="1"/>
    <col min="1283" max="1283" width="45.6640625" style="483" customWidth="1"/>
    <col min="1284" max="1284" width="10.44140625" style="483" customWidth="1"/>
    <col min="1285" max="1285" width="0" style="483" hidden="1" customWidth="1"/>
    <col min="1286" max="1536" width="9.109375" style="483"/>
    <col min="1537" max="1537" width="4.33203125" style="483" customWidth="1"/>
    <col min="1538" max="1538" width="25.33203125" style="483" customWidth="1"/>
    <col min="1539" max="1539" width="45.6640625" style="483" customWidth="1"/>
    <col min="1540" max="1540" width="10.44140625" style="483" customWidth="1"/>
    <col min="1541" max="1541" width="0" style="483" hidden="1" customWidth="1"/>
    <col min="1542" max="1792" width="9.109375" style="483"/>
    <col min="1793" max="1793" width="4.33203125" style="483" customWidth="1"/>
    <col min="1794" max="1794" width="25.33203125" style="483" customWidth="1"/>
    <col min="1795" max="1795" width="45.6640625" style="483" customWidth="1"/>
    <col min="1796" max="1796" width="10.44140625" style="483" customWidth="1"/>
    <col min="1797" max="1797" width="0" style="483" hidden="1" customWidth="1"/>
    <col min="1798" max="2048" width="9.109375" style="483"/>
    <col min="2049" max="2049" width="4.33203125" style="483" customWidth="1"/>
    <col min="2050" max="2050" width="25.33203125" style="483" customWidth="1"/>
    <col min="2051" max="2051" width="45.6640625" style="483" customWidth="1"/>
    <col min="2052" max="2052" width="10.44140625" style="483" customWidth="1"/>
    <col min="2053" max="2053" width="0" style="483" hidden="1" customWidth="1"/>
    <col min="2054" max="2304" width="9.109375" style="483"/>
    <col min="2305" max="2305" width="4.33203125" style="483" customWidth="1"/>
    <col min="2306" max="2306" width="25.33203125" style="483" customWidth="1"/>
    <col min="2307" max="2307" width="45.6640625" style="483" customWidth="1"/>
    <col min="2308" max="2308" width="10.44140625" style="483" customWidth="1"/>
    <col min="2309" max="2309" width="0" style="483" hidden="1" customWidth="1"/>
    <col min="2310" max="2560" width="9.109375" style="483"/>
    <col min="2561" max="2561" width="4.33203125" style="483" customWidth="1"/>
    <col min="2562" max="2562" width="25.33203125" style="483" customWidth="1"/>
    <col min="2563" max="2563" width="45.6640625" style="483" customWidth="1"/>
    <col min="2564" max="2564" width="10.44140625" style="483" customWidth="1"/>
    <col min="2565" max="2565" width="0" style="483" hidden="1" customWidth="1"/>
    <col min="2566" max="2816" width="9.109375" style="483"/>
    <col min="2817" max="2817" width="4.33203125" style="483" customWidth="1"/>
    <col min="2818" max="2818" width="25.33203125" style="483" customWidth="1"/>
    <col min="2819" max="2819" width="45.6640625" style="483" customWidth="1"/>
    <col min="2820" max="2820" width="10.44140625" style="483" customWidth="1"/>
    <col min="2821" max="2821" width="0" style="483" hidden="1" customWidth="1"/>
    <col min="2822" max="3072" width="9.109375" style="483"/>
    <col min="3073" max="3073" width="4.33203125" style="483" customWidth="1"/>
    <col min="3074" max="3074" width="25.33203125" style="483" customWidth="1"/>
    <col min="3075" max="3075" width="45.6640625" style="483" customWidth="1"/>
    <col min="3076" max="3076" width="10.44140625" style="483" customWidth="1"/>
    <col min="3077" max="3077" width="0" style="483" hidden="1" customWidth="1"/>
    <col min="3078" max="3328" width="9.109375" style="483"/>
    <col min="3329" max="3329" width="4.33203125" style="483" customWidth="1"/>
    <col min="3330" max="3330" width="25.33203125" style="483" customWidth="1"/>
    <col min="3331" max="3331" width="45.6640625" style="483" customWidth="1"/>
    <col min="3332" max="3332" width="10.44140625" style="483" customWidth="1"/>
    <col min="3333" max="3333" width="0" style="483" hidden="1" customWidth="1"/>
    <col min="3334" max="3584" width="9.109375" style="483"/>
    <col min="3585" max="3585" width="4.33203125" style="483" customWidth="1"/>
    <col min="3586" max="3586" width="25.33203125" style="483" customWidth="1"/>
    <col min="3587" max="3587" width="45.6640625" style="483" customWidth="1"/>
    <col min="3588" max="3588" width="10.44140625" style="483" customWidth="1"/>
    <col min="3589" max="3589" width="0" style="483" hidden="1" customWidth="1"/>
    <col min="3590" max="3840" width="9.109375" style="483"/>
    <col min="3841" max="3841" width="4.33203125" style="483" customWidth="1"/>
    <col min="3842" max="3842" width="25.33203125" style="483" customWidth="1"/>
    <col min="3843" max="3843" width="45.6640625" style="483" customWidth="1"/>
    <col min="3844" max="3844" width="10.44140625" style="483" customWidth="1"/>
    <col min="3845" max="3845" width="0" style="483" hidden="1" customWidth="1"/>
    <col min="3846" max="4096" width="9.109375" style="483"/>
    <col min="4097" max="4097" width="4.33203125" style="483" customWidth="1"/>
    <col min="4098" max="4098" width="25.33203125" style="483" customWidth="1"/>
    <col min="4099" max="4099" width="45.6640625" style="483" customWidth="1"/>
    <col min="4100" max="4100" width="10.44140625" style="483" customWidth="1"/>
    <col min="4101" max="4101" width="0" style="483" hidden="1" customWidth="1"/>
    <col min="4102" max="4352" width="9.109375" style="483"/>
    <col min="4353" max="4353" width="4.33203125" style="483" customWidth="1"/>
    <col min="4354" max="4354" width="25.33203125" style="483" customWidth="1"/>
    <col min="4355" max="4355" width="45.6640625" style="483" customWidth="1"/>
    <col min="4356" max="4356" width="10.44140625" style="483" customWidth="1"/>
    <col min="4357" max="4357" width="0" style="483" hidden="1" customWidth="1"/>
    <col min="4358" max="4608" width="9.109375" style="483"/>
    <col min="4609" max="4609" width="4.33203125" style="483" customWidth="1"/>
    <col min="4610" max="4610" width="25.33203125" style="483" customWidth="1"/>
    <col min="4611" max="4611" width="45.6640625" style="483" customWidth="1"/>
    <col min="4612" max="4612" width="10.44140625" style="483" customWidth="1"/>
    <col min="4613" max="4613" width="0" style="483" hidden="1" customWidth="1"/>
    <col min="4614" max="4864" width="9.109375" style="483"/>
    <col min="4865" max="4865" width="4.33203125" style="483" customWidth="1"/>
    <col min="4866" max="4866" width="25.33203125" style="483" customWidth="1"/>
    <col min="4867" max="4867" width="45.6640625" style="483" customWidth="1"/>
    <col min="4868" max="4868" width="10.44140625" style="483" customWidth="1"/>
    <col min="4869" max="4869" width="0" style="483" hidden="1" customWidth="1"/>
    <col min="4870" max="5120" width="9.109375" style="483"/>
    <col min="5121" max="5121" width="4.33203125" style="483" customWidth="1"/>
    <col min="5122" max="5122" width="25.33203125" style="483" customWidth="1"/>
    <col min="5123" max="5123" width="45.6640625" style="483" customWidth="1"/>
    <col min="5124" max="5124" width="10.44140625" style="483" customWidth="1"/>
    <col min="5125" max="5125" width="0" style="483" hidden="1" customWidth="1"/>
    <col min="5126" max="5376" width="9.109375" style="483"/>
    <col min="5377" max="5377" width="4.33203125" style="483" customWidth="1"/>
    <col min="5378" max="5378" width="25.33203125" style="483" customWidth="1"/>
    <col min="5379" max="5379" width="45.6640625" style="483" customWidth="1"/>
    <col min="5380" max="5380" width="10.44140625" style="483" customWidth="1"/>
    <col min="5381" max="5381" width="0" style="483" hidden="1" customWidth="1"/>
    <col min="5382" max="5632" width="9.109375" style="483"/>
    <col min="5633" max="5633" width="4.33203125" style="483" customWidth="1"/>
    <col min="5634" max="5634" width="25.33203125" style="483" customWidth="1"/>
    <col min="5635" max="5635" width="45.6640625" style="483" customWidth="1"/>
    <col min="5636" max="5636" width="10.44140625" style="483" customWidth="1"/>
    <col min="5637" max="5637" width="0" style="483" hidden="1" customWidth="1"/>
    <col min="5638" max="5888" width="9.109375" style="483"/>
    <col min="5889" max="5889" width="4.33203125" style="483" customWidth="1"/>
    <col min="5890" max="5890" width="25.33203125" style="483" customWidth="1"/>
    <col min="5891" max="5891" width="45.6640625" style="483" customWidth="1"/>
    <col min="5892" max="5892" width="10.44140625" style="483" customWidth="1"/>
    <col min="5893" max="5893" width="0" style="483" hidden="1" customWidth="1"/>
    <col min="5894" max="6144" width="9.109375" style="483"/>
    <col min="6145" max="6145" width="4.33203125" style="483" customWidth="1"/>
    <col min="6146" max="6146" width="25.33203125" style="483" customWidth="1"/>
    <col min="6147" max="6147" width="45.6640625" style="483" customWidth="1"/>
    <col min="6148" max="6148" width="10.44140625" style="483" customWidth="1"/>
    <col min="6149" max="6149" width="0" style="483" hidden="1" customWidth="1"/>
    <col min="6150" max="6400" width="9.109375" style="483"/>
    <col min="6401" max="6401" width="4.33203125" style="483" customWidth="1"/>
    <col min="6402" max="6402" width="25.33203125" style="483" customWidth="1"/>
    <col min="6403" max="6403" width="45.6640625" style="483" customWidth="1"/>
    <col min="6404" max="6404" width="10.44140625" style="483" customWidth="1"/>
    <col min="6405" max="6405" width="0" style="483" hidden="1" customWidth="1"/>
    <col min="6406" max="6656" width="9.109375" style="483"/>
    <col min="6657" max="6657" width="4.33203125" style="483" customWidth="1"/>
    <col min="6658" max="6658" width="25.33203125" style="483" customWidth="1"/>
    <col min="6659" max="6659" width="45.6640625" style="483" customWidth="1"/>
    <col min="6660" max="6660" width="10.44140625" style="483" customWidth="1"/>
    <col min="6661" max="6661" width="0" style="483" hidden="1" customWidth="1"/>
    <col min="6662" max="6912" width="9.109375" style="483"/>
    <col min="6913" max="6913" width="4.33203125" style="483" customWidth="1"/>
    <col min="6914" max="6914" width="25.33203125" style="483" customWidth="1"/>
    <col min="6915" max="6915" width="45.6640625" style="483" customWidth="1"/>
    <col min="6916" max="6916" width="10.44140625" style="483" customWidth="1"/>
    <col min="6917" max="6917" width="0" style="483" hidden="1" customWidth="1"/>
    <col min="6918" max="7168" width="9.109375" style="483"/>
    <col min="7169" max="7169" width="4.33203125" style="483" customWidth="1"/>
    <col min="7170" max="7170" width="25.33203125" style="483" customWidth="1"/>
    <col min="7171" max="7171" width="45.6640625" style="483" customWidth="1"/>
    <col min="7172" max="7172" width="10.44140625" style="483" customWidth="1"/>
    <col min="7173" max="7173" width="0" style="483" hidden="1" customWidth="1"/>
    <col min="7174" max="7424" width="9.109375" style="483"/>
    <col min="7425" max="7425" width="4.33203125" style="483" customWidth="1"/>
    <col min="7426" max="7426" width="25.33203125" style="483" customWidth="1"/>
    <col min="7427" max="7427" width="45.6640625" style="483" customWidth="1"/>
    <col min="7428" max="7428" width="10.44140625" style="483" customWidth="1"/>
    <col min="7429" max="7429" width="0" style="483" hidden="1" customWidth="1"/>
    <col min="7430" max="7680" width="9.109375" style="483"/>
    <col min="7681" max="7681" width="4.33203125" style="483" customWidth="1"/>
    <col min="7682" max="7682" width="25.33203125" style="483" customWidth="1"/>
    <col min="7683" max="7683" width="45.6640625" style="483" customWidth="1"/>
    <col min="7684" max="7684" width="10.44140625" style="483" customWidth="1"/>
    <col min="7685" max="7685" width="0" style="483" hidden="1" customWidth="1"/>
    <col min="7686" max="7936" width="9.109375" style="483"/>
    <col min="7937" max="7937" width="4.33203125" style="483" customWidth="1"/>
    <col min="7938" max="7938" width="25.33203125" style="483" customWidth="1"/>
    <col min="7939" max="7939" width="45.6640625" style="483" customWidth="1"/>
    <col min="7940" max="7940" width="10.44140625" style="483" customWidth="1"/>
    <col min="7941" max="7941" width="0" style="483" hidden="1" customWidth="1"/>
    <col min="7942" max="8192" width="9.109375" style="483"/>
    <col min="8193" max="8193" width="4.33203125" style="483" customWidth="1"/>
    <col min="8194" max="8194" width="25.33203125" style="483" customWidth="1"/>
    <col min="8195" max="8195" width="45.6640625" style="483" customWidth="1"/>
    <col min="8196" max="8196" width="10.44140625" style="483" customWidth="1"/>
    <col min="8197" max="8197" width="0" style="483" hidden="1" customWidth="1"/>
    <col min="8198" max="8448" width="9.109375" style="483"/>
    <col min="8449" max="8449" width="4.33203125" style="483" customWidth="1"/>
    <col min="8450" max="8450" width="25.33203125" style="483" customWidth="1"/>
    <col min="8451" max="8451" width="45.6640625" style="483" customWidth="1"/>
    <col min="8452" max="8452" width="10.44140625" style="483" customWidth="1"/>
    <col min="8453" max="8453" width="0" style="483" hidden="1" customWidth="1"/>
    <col min="8454" max="8704" width="9.109375" style="483"/>
    <col min="8705" max="8705" width="4.33203125" style="483" customWidth="1"/>
    <col min="8706" max="8706" width="25.33203125" style="483" customWidth="1"/>
    <col min="8707" max="8707" width="45.6640625" style="483" customWidth="1"/>
    <col min="8708" max="8708" width="10.44140625" style="483" customWidth="1"/>
    <col min="8709" max="8709" width="0" style="483" hidden="1" customWidth="1"/>
    <col min="8710" max="8960" width="9.109375" style="483"/>
    <col min="8961" max="8961" width="4.33203125" style="483" customWidth="1"/>
    <col min="8962" max="8962" width="25.33203125" style="483" customWidth="1"/>
    <col min="8963" max="8963" width="45.6640625" style="483" customWidth="1"/>
    <col min="8964" max="8964" width="10.44140625" style="483" customWidth="1"/>
    <col min="8965" max="8965" width="0" style="483" hidden="1" customWidth="1"/>
    <col min="8966" max="9216" width="9.109375" style="483"/>
    <col min="9217" max="9217" width="4.33203125" style="483" customWidth="1"/>
    <col min="9218" max="9218" width="25.33203125" style="483" customWidth="1"/>
    <col min="9219" max="9219" width="45.6640625" style="483" customWidth="1"/>
    <col min="9220" max="9220" width="10.44140625" style="483" customWidth="1"/>
    <col min="9221" max="9221" width="0" style="483" hidden="1" customWidth="1"/>
    <col min="9222" max="9472" width="9.109375" style="483"/>
    <col min="9473" max="9473" width="4.33203125" style="483" customWidth="1"/>
    <col min="9474" max="9474" width="25.33203125" style="483" customWidth="1"/>
    <col min="9475" max="9475" width="45.6640625" style="483" customWidth="1"/>
    <col min="9476" max="9476" width="10.44140625" style="483" customWidth="1"/>
    <col min="9477" max="9477" width="0" style="483" hidden="1" customWidth="1"/>
    <col min="9478" max="9728" width="9.109375" style="483"/>
    <col min="9729" max="9729" width="4.33203125" style="483" customWidth="1"/>
    <col min="9730" max="9730" width="25.33203125" style="483" customWidth="1"/>
    <col min="9731" max="9731" width="45.6640625" style="483" customWidth="1"/>
    <col min="9732" max="9732" width="10.44140625" style="483" customWidth="1"/>
    <col min="9733" max="9733" width="0" style="483" hidden="1" customWidth="1"/>
    <col min="9734" max="9984" width="9.109375" style="483"/>
    <col min="9985" max="9985" width="4.33203125" style="483" customWidth="1"/>
    <col min="9986" max="9986" width="25.33203125" style="483" customWidth="1"/>
    <col min="9987" max="9987" width="45.6640625" style="483" customWidth="1"/>
    <col min="9988" max="9988" width="10.44140625" style="483" customWidth="1"/>
    <col min="9989" max="9989" width="0" style="483" hidden="1" customWidth="1"/>
    <col min="9990" max="10240" width="9.109375" style="483"/>
    <col min="10241" max="10241" width="4.33203125" style="483" customWidth="1"/>
    <col min="10242" max="10242" width="25.33203125" style="483" customWidth="1"/>
    <col min="10243" max="10243" width="45.6640625" style="483" customWidth="1"/>
    <col min="10244" max="10244" width="10.44140625" style="483" customWidth="1"/>
    <col min="10245" max="10245" width="0" style="483" hidden="1" customWidth="1"/>
    <col min="10246" max="10496" width="9.109375" style="483"/>
    <col min="10497" max="10497" width="4.33203125" style="483" customWidth="1"/>
    <col min="10498" max="10498" width="25.33203125" style="483" customWidth="1"/>
    <col min="10499" max="10499" width="45.6640625" style="483" customWidth="1"/>
    <col min="10500" max="10500" width="10.44140625" style="483" customWidth="1"/>
    <col min="10501" max="10501" width="0" style="483" hidden="1" customWidth="1"/>
    <col min="10502" max="10752" width="9.109375" style="483"/>
    <col min="10753" max="10753" width="4.33203125" style="483" customWidth="1"/>
    <col min="10754" max="10754" width="25.33203125" style="483" customWidth="1"/>
    <col min="10755" max="10755" width="45.6640625" style="483" customWidth="1"/>
    <col min="10756" max="10756" width="10.44140625" style="483" customWidth="1"/>
    <col min="10757" max="10757" width="0" style="483" hidden="1" customWidth="1"/>
    <col min="10758" max="11008" width="9.109375" style="483"/>
    <col min="11009" max="11009" width="4.33203125" style="483" customWidth="1"/>
    <col min="11010" max="11010" width="25.33203125" style="483" customWidth="1"/>
    <col min="11011" max="11011" width="45.6640625" style="483" customWidth="1"/>
    <col min="11012" max="11012" width="10.44140625" style="483" customWidth="1"/>
    <col min="11013" max="11013" width="0" style="483" hidden="1" customWidth="1"/>
    <col min="11014" max="11264" width="9.109375" style="483"/>
    <col min="11265" max="11265" width="4.33203125" style="483" customWidth="1"/>
    <col min="11266" max="11266" width="25.33203125" style="483" customWidth="1"/>
    <col min="11267" max="11267" width="45.6640625" style="483" customWidth="1"/>
    <col min="11268" max="11268" width="10.44140625" style="483" customWidth="1"/>
    <col min="11269" max="11269" width="0" style="483" hidden="1" customWidth="1"/>
    <col min="11270" max="11520" width="9.109375" style="483"/>
    <col min="11521" max="11521" width="4.33203125" style="483" customWidth="1"/>
    <col min="11522" max="11522" width="25.33203125" style="483" customWidth="1"/>
    <col min="11523" max="11523" width="45.6640625" style="483" customWidth="1"/>
    <col min="11524" max="11524" width="10.44140625" style="483" customWidth="1"/>
    <col min="11525" max="11525" width="0" style="483" hidden="1" customWidth="1"/>
    <col min="11526" max="11776" width="9.109375" style="483"/>
    <col min="11777" max="11777" width="4.33203125" style="483" customWidth="1"/>
    <col min="11778" max="11778" width="25.33203125" style="483" customWidth="1"/>
    <col min="11779" max="11779" width="45.6640625" style="483" customWidth="1"/>
    <col min="11780" max="11780" width="10.44140625" style="483" customWidth="1"/>
    <col min="11781" max="11781" width="0" style="483" hidden="1" customWidth="1"/>
    <col min="11782" max="12032" width="9.109375" style="483"/>
    <col min="12033" max="12033" width="4.33203125" style="483" customWidth="1"/>
    <col min="12034" max="12034" width="25.33203125" style="483" customWidth="1"/>
    <col min="12035" max="12035" width="45.6640625" style="483" customWidth="1"/>
    <col min="12036" max="12036" width="10.44140625" style="483" customWidth="1"/>
    <col min="12037" max="12037" width="0" style="483" hidden="1" customWidth="1"/>
    <col min="12038" max="12288" width="9.109375" style="483"/>
    <col min="12289" max="12289" width="4.33203125" style="483" customWidth="1"/>
    <col min="12290" max="12290" width="25.33203125" style="483" customWidth="1"/>
    <col min="12291" max="12291" width="45.6640625" style="483" customWidth="1"/>
    <col min="12292" max="12292" width="10.44140625" style="483" customWidth="1"/>
    <col min="12293" max="12293" width="0" style="483" hidden="1" customWidth="1"/>
    <col min="12294" max="12544" width="9.109375" style="483"/>
    <col min="12545" max="12545" width="4.33203125" style="483" customWidth="1"/>
    <col min="12546" max="12546" width="25.33203125" style="483" customWidth="1"/>
    <col min="12547" max="12547" width="45.6640625" style="483" customWidth="1"/>
    <col min="12548" max="12548" width="10.44140625" style="483" customWidth="1"/>
    <col min="12549" max="12549" width="0" style="483" hidden="1" customWidth="1"/>
    <col min="12550" max="12800" width="9.109375" style="483"/>
    <col min="12801" max="12801" width="4.33203125" style="483" customWidth="1"/>
    <col min="12802" max="12802" width="25.33203125" style="483" customWidth="1"/>
    <col min="12803" max="12803" width="45.6640625" style="483" customWidth="1"/>
    <col min="12804" max="12804" width="10.44140625" style="483" customWidth="1"/>
    <col min="12805" max="12805" width="0" style="483" hidden="1" customWidth="1"/>
    <col min="12806" max="13056" width="9.109375" style="483"/>
    <col min="13057" max="13057" width="4.33203125" style="483" customWidth="1"/>
    <col min="13058" max="13058" width="25.33203125" style="483" customWidth="1"/>
    <col min="13059" max="13059" width="45.6640625" style="483" customWidth="1"/>
    <col min="13060" max="13060" width="10.44140625" style="483" customWidth="1"/>
    <col min="13061" max="13061" width="0" style="483" hidden="1" customWidth="1"/>
    <col min="13062" max="13312" width="9.109375" style="483"/>
    <col min="13313" max="13313" width="4.33203125" style="483" customWidth="1"/>
    <col min="13314" max="13314" width="25.33203125" style="483" customWidth="1"/>
    <col min="13315" max="13315" width="45.6640625" style="483" customWidth="1"/>
    <col min="13316" max="13316" width="10.44140625" style="483" customWidth="1"/>
    <col min="13317" max="13317" width="0" style="483" hidden="1" customWidth="1"/>
    <col min="13318" max="13568" width="9.109375" style="483"/>
    <col min="13569" max="13569" width="4.33203125" style="483" customWidth="1"/>
    <col min="13570" max="13570" width="25.33203125" style="483" customWidth="1"/>
    <col min="13571" max="13571" width="45.6640625" style="483" customWidth="1"/>
    <col min="13572" max="13572" width="10.44140625" style="483" customWidth="1"/>
    <col min="13573" max="13573" width="0" style="483" hidden="1" customWidth="1"/>
    <col min="13574" max="13824" width="9.109375" style="483"/>
    <col min="13825" max="13825" width="4.33203125" style="483" customWidth="1"/>
    <col min="13826" max="13826" width="25.33203125" style="483" customWidth="1"/>
    <col min="13827" max="13827" width="45.6640625" style="483" customWidth="1"/>
    <col min="13828" max="13828" width="10.44140625" style="483" customWidth="1"/>
    <col min="13829" max="13829" width="0" style="483" hidden="1" customWidth="1"/>
    <col min="13830" max="14080" width="9.109375" style="483"/>
    <col min="14081" max="14081" width="4.33203125" style="483" customWidth="1"/>
    <col min="14082" max="14082" width="25.33203125" style="483" customWidth="1"/>
    <col min="14083" max="14083" width="45.6640625" style="483" customWidth="1"/>
    <col min="14084" max="14084" width="10.44140625" style="483" customWidth="1"/>
    <col min="14085" max="14085" width="0" style="483" hidden="1" customWidth="1"/>
    <col min="14086" max="14336" width="9.109375" style="483"/>
    <col min="14337" max="14337" width="4.33203125" style="483" customWidth="1"/>
    <col min="14338" max="14338" width="25.33203125" style="483" customWidth="1"/>
    <col min="14339" max="14339" width="45.6640625" style="483" customWidth="1"/>
    <col min="14340" max="14340" width="10.44140625" style="483" customWidth="1"/>
    <col min="14341" max="14341" width="0" style="483" hidden="1" customWidth="1"/>
    <col min="14342" max="14592" width="9.109375" style="483"/>
    <col min="14593" max="14593" width="4.33203125" style="483" customWidth="1"/>
    <col min="14594" max="14594" width="25.33203125" style="483" customWidth="1"/>
    <col min="14595" max="14595" width="45.6640625" style="483" customWidth="1"/>
    <col min="14596" max="14596" width="10.44140625" style="483" customWidth="1"/>
    <col min="14597" max="14597" width="0" style="483" hidden="1" customWidth="1"/>
    <col min="14598" max="14848" width="9.109375" style="483"/>
    <col min="14849" max="14849" width="4.33203125" style="483" customWidth="1"/>
    <col min="14850" max="14850" width="25.33203125" style="483" customWidth="1"/>
    <col min="14851" max="14851" width="45.6640625" style="483" customWidth="1"/>
    <col min="14852" max="14852" width="10.44140625" style="483" customWidth="1"/>
    <col min="14853" max="14853" width="0" style="483" hidden="1" customWidth="1"/>
    <col min="14854" max="15104" width="9.109375" style="483"/>
    <col min="15105" max="15105" width="4.33203125" style="483" customWidth="1"/>
    <col min="15106" max="15106" width="25.33203125" style="483" customWidth="1"/>
    <col min="15107" max="15107" width="45.6640625" style="483" customWidth="1"/>
    <col min="15108" max="15108" width="10.44140625" style="483" customWidth="1"/>
    <col min="15109" max="15109" width="0" style="483" hidden="1" customWidth="1"/>
    <col min="15110" max="15360" width="9.109375" style="483"/>
    <col min="15361" max="15361" width="4.33203125" style="483" customWidth="1"/>
    <col min="15362" max="15362" width="25.33203125" style="483" customWidth="1"/>
    <col min="15363" max="15363" width="45.6640625" style="483" customWidth="1"/>
    <col min="15364" max="15364" width="10.44140625" style="483" customWidth="1"/>
    <col min="15365" max="15365" width="0" style="483" hidden="1" customWidth="1"/>
    <col min="15366" max="15616" width="9.109375" style="483"/>
    <col min="15617" max="15617" width="4.33203125" style="483" customWidth="1"/>
    <col min="15618" max="15618" width="25.33203125" style="483" customWidth="1"/>
    <col min="15619" max="15619" width="45.6640625" style="483" customWidth="1"/>
    <col min="15620" max="15620" width="10.44140625" style="483" customWidth="1"/>
    <col min="15621" max="15621" width="0" style="483" hidden="1" customWidth="1"/>
    <col min="15622" max="15872" width="9.109375" style="483"/>
    <col min="15873" max="15873" width="4.33203125" style="483" customWidth="1"/>
    <col min="15874" max="15874" width="25.33203125" style="483" customWidth="1"/>
    <col min="15875" max="15875" width="45.6640625" style="483" customWidth="1"/>
    <col min="15876" max="15876" width="10.44140625" style="483" customWidth="1"/>
    <col min="15877" max="15877" width="0" style="483" hidden="1" customWidth="1"/>
    <col min="15878" max="16128" width="9.109375" style="483"/>
    <col min="16129" max="16129" width="4.33203125" style="483" customWidth="1"/>
    <col min="16130" max="16130" width="25.33203125" style="483" customWidth="1"/>
    <col min="16131" max="16131" width="45.6640625" style="483" customWidth="1"/>
    <col min="16132" max="16132" width="10.44140625" style="483" customWidth="1"/>
    <col min="16133" max="16133" width="0" style="483" hidden="1" customWidth="1"/>
    <col min="16134" max="16384" width="9.109375" style="483"/>
  </cols>
  <sheetData>
    <row r="1" spans="1:5" ht="30" customHeight="1" thickBot="1">
      <c r="A1" s="1134" t="s">
        <v>3036</v>
      </c>
      <c r="B1" s="1134"/>
      <c r="C1" s="1134"/>
      <c r="D1" s="1134"/>
    </row>
    <row r="2" spans="1:5" ht="13.8" thickBot="1">
      <c r="A2" s="484"/>
      <c r="B2" s="485" t="s">
        <v>1576</v>
      </c>
      <c r="C2" s="486" t="s">
        <v>3037</v>
      </c>
      <c r="D2" s="487" t="s">
        <v>1128</v>
      </c>
    </row>
    <row r="3" spans="1:5" ht="12.75" customHeight="1">
      <c r="A3" s="1135" t="s">
        <v>1579</v>
      </c>
      <c r="B3" s="1124" t="s">
        <v>3038</v>
      </c>
      <c r="C3" s="488" t="s">
        <v>3039</v>
      </c>
      <c r="D3" s="489">
        <f>E3/1000</f>
        <v>3525.6570000000002</v>
      </c>
      <c r="E3" s="490">
        <v>3525657</v>
      </c>
    </row>
    <row r="4" spans="1:5" ht="12.75" customHeight="1">
      <c r="A4" s="1128"/>
      <c r="B4" s="1130"/>
      <c r="C4" s="491" t="s">
        <v>1705</v>
      </c>
      <c r="D4" s="492">
        <f t="shared" ref="D4:D44" si="0">E4/1000</f>
        <v>18.36</v>
      </c>
      <c r="E4" s="490">
        <v>18360</v>
      </c>
    </row>
    <row r="5" spans="1:5" ht="22.5" customHeight="1">
      <c r="A5" s="1128"/>
      <c r="B5" s="1130" t="s">
        <v>3040</v>
      </c>
      <c r="C5" s="493" t="s">
        <v>3041</v>
      </c>
      <c r="D5" s="492">
        <f t="shared" si="0"/>
        <v>129</v>
      </c>
      <c r="E5" s="490">
        <v>129000</v>
      </c>
    </row>
    <row r="6" spans="1:5" ht="12.75" customHeight="1">
      <c r="A6" s="1128"/>
      <c r="B6" s="1130"/>
      <c r="C6" s="491" t="s">
        <v>3039</v>
      </c>
      <c r="D6" s="492">
        <f t="shared" si="0"/>
        <v>1860.0940000000001</v>
      </c>
      <c r="E6" s="490">
        <v>1860094</v>
      </c>
    </row>
    <row r="7" spans="1:5" ht="24" customHeight="1">
      <c r="A7" s="1128"/>
      <c r="B7" s="1130"/>
      <c r="C7" s="491" t="s">
        <v>1716</v>
      </c>
      <c r="D7" s="492">
        <f t="shared" si="0"/>
        <v>18</v>
      </c>
      <c r="E7" s="490">
        <v>18000</v>
      </c>
    </row>
    <row r="8" spans="1:5" ht="12.75" customHeight="1">
      <c r="A8" s="1128"/>
      <c r="B8" s="1130"/>
      <c r="C8" s="491" t="s">
        <v>1714</v>
      </c>
      <c r="D8" s="492">
        <f t="shared" si="0"/>
        <v>4</v>
      </c>
      <c r="E8" s="490">
        <v>4000</v>
      </c>
    </row>
    <row r="9" spans="1:5">
      <c r="A9" s="1119" t="s">
        <v>1590</v>
      </c>
      <c r="B9" s="1120"/>
      <c r="C9" s="1120"/>
      <c r="D9" s="494">
        <f t="shared" si="0"/>
        <v>5555.1109999999999</v>
      </c>
      <c r="E9" s="490">
        <v>5555111</v>
      </c>
    </row>
    <row r="10" spans="1:5" ht="48" customHeight="1">
      <c r="A10" s="495" t="s">
        <v>1724</v>
      </c>
      <c r="B10" s="496" t="s">
        <v>3042</v>
      </c>
      <c r="C10" s="493" t="s">
        <v>1705</v>
      </c>
      <c r="D10" s="492">
        <f t="shared" si="0"/>
        <v>8.6999999999999993</v>
      </c>
      <c r="E10" s="490">
        <v>8700</v>
      </c>
    </row>
    <row r="11" spans="1:5">
      <c r="A11" s="1131" t="s">
        <v>3043</v>
      </c>
      <c r="B11" s="1132"/>
      <c r="C11" s="1133"/>
      <c r="D11" s="494">
        <f t="shared" si="0"/>
        <v>8.6999999999999993</v>
      </c>
      <c r="E11" s="497">
        <v>8700</v>
      </c>
    </row>
    <row r="12" spans="1:5" ht="22.5" customHeight="1">
      <c r="A12" s="1121" t="s">
        <v>3044</v>
      </c>
      <c r="B12" s="1130" t="s">
        <v>3045</v>
      </c>
      <c r="C12" s="493" t="s">
        <v>3041</v>
      </c>
      <c r="D12" s="492">
        <f t="shared" si="0"/>
        <v>129</v>
      </c>
      <c r="E12" s="490">
        <v>129000</v>
      </c>
    </row>
    <row r="13" spans="1:5" ht="12.75" customHeight="1">
      <c r="A13" s="1128"/>
      <c r="B13" s="1130"/>
      <c r="C13" s="491" t="s">
        <v>3039</v>
      </c>
      <c r="D13" s="492">
        <f t="shared" si="0"/>
        <v>12518.427</v>
      </c>
      <c r="E13" s="490">
        <v>12518427</v>
      </c>
    </row>
    <row r="14" spans="1:5" ht="12.75" customHeight="1">
      <c r="A14" s="1128"/>
      <c r="B14" s="1130"/>
      <c r="C14" s="491" t="s">
        <v>1705</v>
      </c>
      <c r="D14" s="492">
        <f t="shared" si="0"/>
        <v>10.608000000000001</v>
      </c>
      <c r="E14" s="490">
        <v>10608</v>
      </c>
    </row>
    <row r="15" spans="1:5" ht="12.75" customHeight="1">
      <c r="A15" s="1128"/>
      <c r="B15" s="493" t="s">
        <v>3046</v>
      </c>
      <c r="C15" s="491" t="s">
        <v>3039</v>
      </c>
      <c r="D15" s="492">
        <f t="shared" si="0"/>
        <v>94.394000000000005</v>
      </c>
      <c r="E15" s="490">
        <v>94394</v>
      </c>
    </row>
    <row r="16" spans="1:5" ht="12.75" customHeight="1">
      <c r="A16" s="1128"/>
      <c r="B16" s="1130" t="s">
        <v>3047</v>
      </c>
      <c r="C16" s="491" t="s">
        <v>3039</v>
      </c>
      <c r="D16" s="492">
        <f t="shared" si="0"/>
        <v>5467.0860000000002</v>
      </c>
      <c r="E16" s="490">
        <v>5467086</v>
      </c>
    </row>
    <row r="17" spans="1:5" ht="12.75" customHeight="1">
      <c r="A17" s="1128"/>
      <c r="B17" s="1130"/>
      <c r="C17" s="491" t="s">
        <v>1705</v>
      </c>
      <c r="D17" s="492">
        <f t="shared" si="0"/>
        <v>6.63</v>
      </c>
      <c r="E17" s="490">
        <v>6630</v>
      </c>
    </row>
    <row r="18" spans="1:5" ht="12.75" customHeight="1">
      <c r="A18" s="1128"/>
      <c r="B18" s="1130" t="s">
        <v>3048</v>
      </c>
      <c r="C18" s="491" t="s">
        <v>3039</v>
      </c>
      <c r="D18" s="492">
        <f t="shared" si="0"/>
        <v>9496.4619999999995</v>
      </c>
      <c r="E18" s="490">
        <v>9496462</v>
      </c>
    </row>
    <row r="19" spans="1:5" ht="12.75" customHeight="1">
      <c r="A19" s="1128"/>
      <c r="B19" s="1130"/>
      <c r="C19" s="491" t="s">
        <v>1705</v>
      </c>
      <c r="D19" s="492">
        <f t="shared" si="0"/>
        <v>8.3640000000000008</v>
      </c>
      <c r="E19" s="490">
        <v>8364</v>
      </c>
    </row>
    <row r="20" spans="1:5" ht="12.75" customHeight="1">
      <c r="A20" s="1128"/>
      <c r="B20" s="1130" t="s">
        <v>3049</v>
      </c>
      <c r="C20" s="491" t="s">
        <v>3039</v>
      </c>
      <c r="D20" s="492">
        <f t="shared" si="0"/>
        <v>8792.107</v>
      </c>
      <c r="E20" s="490">
        <v>8792107</v>
      </c>
    </row>
    <row r="21" spans="1:5" ht="12.75" customHeight="1">
      <c r="A21" s="1128"/>
      <c r="B21" s="1130"/>
      <c r="C21" s="491" t="s">
        <v>1705</v>
      </c>
      <c r="D21" s="492">
        <f t="shared" si="0"/>
        <v>9.5879999999999992</v>
      </c>
      <c r="E21" s="490">
        <v>9588</v>
      </c>
    </row>
    <row r="22" spans="1:5" ht="12.75" customHeight="1">
      <c r="A22" s="1128"/>
      <c r="B22" s="1130" t="s">
        <v>3050</v>
      </c>
      <c r="C22" s="491" t="s">
        <v>3039</v>
      </c>
      <c r="D22" s="492">
        <f t="shared" si="0"/>
        <v>11900.089</v>
      </c>
      <c r="E22" s="490">
        <v>11900089</v>
      </c>
    </row>
    <row r="23" spans="1:5" ht="12.75" customHeight="1">
      <c r="A23" s="1128"/>
      <c r="B23" s="1130"/>
      <c r="C23" s="491" t="s">
        <v>1705</v>
      </c>
      <c r="D23" s="492">
        <f t="shared" si="0"/>
        <v>7.7519999999999998</v>
      </c>
      <c r="E23" s="490">
        <v>7752</v>
      </c>
    </row>
    <row r="24" spans="1:5" ht="22.5" customHeight="1">
      <c r="A24" s="1128"/>
      <c r="B24" s="493" t="s">
        <v>3051</v>
      </c>
      <c r="C24" s="493" t="s">
        <v>3039</v>
      </c>
      <c r="D24" s="492">
        <f t="shared" si="0"/>
        <v>1139.3019999999999</v>
      </c>
      <c r="E24" s="490">
        <v>1139302</v>
      </c>
    </row>
    <row r="25" spans="1:5" ht="21.75" customHeight="1">
      <c r="A25" s="1128"/>
      <c r="B25" s="1130" t="s">
        <v>3052</v>
      </c>
      <c r="C25" s="493" t="s">
        <v>3041</v>
      </c>
      <c r="D25" s="492">
        <f t="shared" si="0"/>
        <v>219.3</v>
      </c>
      <c r="E25" s="490">
        <v>219300</v>
      </c>
    </row>
    <row r="26" spans="1:5" ht="12.75" customHeight="1">
      <c r="A26" s="1128"/>
      <c r="B26" s="1130"/>
      <c r="C26" s="491" t="s">
        <v>3039</v>
      </c>
      <c r="D26" s="492">
        <f t="shared" si="0"/>
        <v>6384.65</v>
      </c>
      <c r="E26" s="490">
        <v>6384650</v>
      </c>
    </row>
    <row r="27" spans="1:5" ht="12.75" customHeight="1">
      <c r="A27" s="1128"/>
      <c r="B27" s="1130"/>
      <c r="C27" s="491" t="s">
        <v>1714</v>
      </c>
      <c r="D27" s="492">
        <f t="shared" si="0"/>
        <v>11</v>
      </c>
      <c r="E27" s="490">
        <v>11000</v>
      </c>
    </row>
    <row r="28" spans="1:5" ht="20.25" customHeight="1">
      <c r="A28" s="1128"/>
      <c r="B28" s="493" t="s">
        <v>3053</v>
      </c>
      <c r="C28" s="493" t="s">
        <v>3039</v>
      </c>
      <c r="D28" s="492">
        <f t="shared" si="0"/>
        <v>99.602999999999994</v>
      </c>
      <c r="E28" s="490">
        <v>99603</v>
      </c>
    </row>
    <row r="29" spans="1:5" ht="12.75" customHeight="1">
      <c r="A29" s="1128"/>
      <c r="B29" s="1130" t="s">
        <v>3054</v>
      </c>
      <c r="C29" s="491" t="s">
        <v>3039</v>
      </c>
      <c r="D29" s="492">
        <f t="shared" si="0"/>
        <v>10433.869000000001</v>
      </c>
      <c r="E29" s="490">
        <v>10433869</v>
      </c>
    </row>
    <row r="30" spans="1:5" ht="12.75" customHeight="1">
      <c r="A30" s="1128"/>
      <c r="B30" s="1130"/>
      <c r="C30" s="491" t="s">
        <v>1705</v>
      </c>
      <c r="D30" s="492">
        <f t="shared" si="0"/>
        <v>9.69</v>
      </c>
      <c r="E30" s="490">
        <v>9690</v>
      </c>
    </row>
    <row r="31" spans="1:5" ht="19.5" customHeight="1">
      <c r="A31" s="1128"/>
      <c r="B31" s="493" t="s">
        <v>3055</v>
      </c>
      <c r="C31" s="493" t="s">
        <v>3039</v>
      </c>
      <c r="D31" s="492">
        <f t="shared" si="0"/>
        <v>8838.7690000000002</v>
      </c>
      <c r="E31" s="490">
        <v>8838769</v>
      </c>
    </row>
    <row r="32" spans="1:5" ht="12.75" customHeight="1">
      <c r="A32" s="1128"/>
      <c r="B32" s="493" t="s">
        <v>3056</v>
      </c>
      <c r="C32" s="491" t="s">
        <v>3039</v>
      </c>
      <c r="D32" s="492">
        <f t="shared" si="0"/>
        <v>985.02200000000005</v>
      </c>
      <c r="E32" s="490">
        <v>985022</v>
      </c>
    </row>
    <row r="33" spans="1:5" ht="12.75" customHeight="1">
      <c r="A33" s="1128"/>
      <c r="B33" s="493" t="s">
        <v>3057</v>
      </c>
      <c r="C33" s="491" t="s">
        <v>3039</v>
      </c>
      <c r="D33" s="492">
        <f t="shared" si="0"/>
        <v>1369.922</v>
      </c>
      <c r="E33" s="490">
        <v>1369922</v>
      </c>
    </row>
    <row r="34" spans="1:5" ht="12.75" customHeight="1">
      <c r="A34" s="1128"/>
      <c r="B34" s="1130" t="s">
        <v>3058</v>
      </c>
      <c r="C34" s="491" t="s">
        <v>3039</v>
      </c>
      <c r="D34" s="492">
        <f t="shared" si="0"/>
        <v>8115.3209999999999</v>
      </c>
      <c r="E34" s="490">
        <v>8115321</v>
      </c>
    </row>
    <row r="35" spans="1:5" ht="12.75" customHeight="1">
      <c r="A35" s="1122"/>
      <c r="B35" s="1130"/>
      <c r="C35" s="491" t="s">
        <v>1714</v>
      </c>
      <c r="D35" s="492">
        <f t="shared" si="0"/>
        <v>29</v>
      </c>
      <c r="E35" s="490">
        <v>29000</v>
      </c>
    </row>
    <row r="36" spans="1:5">
      <c r="A36" s="1119" t="s">
        <v>1660</v>
      </c>
      <c r="B36" s="1120"/>
      <c r="C36" s="1120"/>
      <c r="D36" s="494">
        <f t="shared" si="0"/>
        <v>86075.955000000002</v>
      </c>
      <c r="E36" s="490">
        <v>86075955</v>
      </c>
    </row>
    <row r="37" spans="1:5" ht="21.75" customHeight="1">
      <c r="A37" s="1121" t="s">
        <v>1745</v>
      </c>
      <c r="B37" s="1123" t="s">
        <v>3059</v>
      </c>
      <c r="C37" s="493" t="s">
        <v>3041</v>
      </c>
      <c r="D37" s="492">
        <f t="shared" si="0"/>
        <v>129</v>
      </c>
      <c r="E37" s="490">
        <v>129000</v>
      </c>
    </row>
    <row r="38" spans="1:5" ht="20.25" customHeight="1">
      <c r="A38" s="1122"/>
      <c r="B38" s="1124"/>
      <c r="C38" s="493" t="s">
        <v>3039</v>
      </c>
      <c r="D38" s="492">
        <f t="shared" si="0"/>
        <v>1577.3810000000001</v>
      </c>
      <c r="E38" s="490">
        <v>1577381</v>
      </c>
    </row>
    <row r="39" spans="1:5" ht="14.25" customHeight="1">
      <c r="A39" s="1125" t="s">
        <v>3060</v>
      </c>
      <c r="B39" s="1126"/>
      <c r="C39" s="1127"/>
      <c r="D39" s="494">
        <f t="shared" si="0"/>
        <v>15577.380999999999</v>
      </c>
      <c r="E39" s="497">
        <v>15577381</v>
      </c>
    </row>
    <row r="40" spans="1:5" ht="12.75" customHeight="1">
      <c r="A40" s="1121" t="s">
        <v>1750</v>
      </c>
      <c r="B40" s="1123" t="s">
        <v>3061</v>
      </c>
      <c r="C40" s="491" t="s">
        <v>3041</v>
      </c>
      <c r="D40" s="492">
        <f t="shared" si="0"/>
        <v>129</v>
      </c>
      <c r="E40" s="490">
        <v>129000</v>
      </c>
    </row>
    <row r="41" spans="1:5" ht="12.75" customHeight="1">
      <c r="A41" s="1128"/>
      <c r="B41" s="1129"/>
      <c r="C41" s="491" t="s">
        <v>3039</v>
      </c>
      <c r="D41" s="492">
        <f t="shared" si="0"/>
        <v>967.05</v>
      </c>
      <c r="E41" s="490">
        <v>967050</v>
      </c>
    </row>
    <row r="42" spans="1:5" ht="25.5" customHeight="1">
      <c r="A42" s="1122"/>
      <c r="B42" s="1124"/>
      <c r="C42" s="493" t="s">
        <v>1716</v>
      </c>
      <c r="D42" s="492">
        <f t="shared" si="0"/>
        <v>30</v>
      </c>
      <c r="E42" s="490">
        <v>30000</v>
      </c>
    </row>
    <row r="43" spans="1:5" ht="13.8" thickBot="1">
      <c r="A43" s="1113" t="s">
        <v>3062</v>
      </c>
      <c r="B43" s="1114"/>
      <c r="C43" s="1114"/>
      <c r="D43" s="498">
        <f t="shared" si="0"/>
        <v>1126.05</v>
      </c>
      <c r="E43" s="490">
        <v>1126050</v>
      </c>
    </row>
    <row r="44" spans="1:5" ht="13.8" thickBot="1">
      <c r="A44" s="1115" t="s">
        <v>1234</v>
      </c>
      <c r="B44" s="1116"/>
      <c r="C44" s="1116"/>
      <c r="D44" s="499">
        <f t="shared" si="0"/>
        <v>94472.197</v>
      </c>
      <c r="E44" s="490">
        <v>94472197</v>
      </c>
    </row>
    <row r="46" spans="1:5">
      <c r="A46" s="1117" t="s">
        <v>3063</v>
      </c>
      <c r="B46" s="1117"/>
      <c r="C46" s="1118"/>
    </row>
    <row r="47" spans="1:5">
      <c r="A47" s="1118"/>
      <c r="B47" s="1118"/>
      <c r="C47" s="1118"/>
    </row>
  </sheetData>
  <mergeCells count="24">
    <mergeCell ref="A11:C11"/>
    <mergeCell ref="A1:D1"/>
    <mergeCell ref="A3:A8"/>
    <mergeCell ref="B3:B4"/>
    <mergeCell ref="B5:B8"/>
    <mergeCell ref="A9:C9"/>
    <mergeCell ref="A12:A35"/>
    <mergeCell ref="B12:B14"/>
    <mergeCell ref="B16:B17"/>
    <mergeCell ref="B18:B19"/>
    <mergeCell ref="B20:B21"/>
    <mergeCell ref="B22:B23"/>
    <mergeCell ref="B25:B27"/>
    <mergeCell ref="B29:B30"/>
    <mergeCell ref="B34:B35"/>
    <mergeCell ref="A43:C43"/>
    <mergeCell ref="A44:C44"/>
    <mergeCell ref="A46:C47"/>
    <mergeCell ref="A36:C36"/>
    <mergeCell ref="A37:A38"/>
    <mergeCell ref="B37:B38"/>
    <mergeCell ref="A39:C39"/>
    <mergeCell ref="A40:A42"/>
    <mergeCell ref="B40:B42"/>
  </mergeCells>
  <pageMargins left="0.78740157499999996" right="0.78740157499999996" top="0.984251969" bottom="0.984251969" header="0.4921259845" footer="0.4921259845"/>
  <pageSetup paperSize="9" scale="96" orientation="portrait" r:id="rId1"/>
  <headerFooter alignWithMargins="0">
    <oddHeader>&amp;LPříloha č. 18&amp;CZávěrečný účet Plzeňského kraje za rok 2010</oddHeader>
    <oddFooter>&amp;LKrajský úřad Plzeňského kraje
Odbor ekonomický&amp;C&amp;P&amp;R&amp;D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811"/>
  <sheetViews>
    <sheetView showGridLines="0" zoomScaleNormal="100" workbookViewId="0">
      <selection activeCell="M8" sqref="M8"/>
    </sheetView>
  </sheetViews>
  <sheetFormatPr defaultColWidth="9.109375" defaultRowHeight="13.2"/>
  <cols>
    <col min="1" max="1" width="4.33203125" style="483" customWidth="1"/>
    <col min="2" max="2" width="26.33203125" style="483" customWidth="1"/>
    <col min="3" max="3" width="4.33203125" style="483" customWidth="1"/>
    <col min="4" max="4" width="34.5546875" style="483" customWidth="1"/>
    <col min="5" max="5" width="21.33203125" style="483" hidden="1" customWidth="1"/>
    <col min="6" max="6" width="13.33203125" style="483" customWidth="1"/>
    <col min="7" max="7" width="13.33203125" style="483" hidden="1" customWidth="1"/>
    <col min="8" max="8" width="13.33203125" style="483" customWidth="1"/>
    <col min="9" max="9" width="13.33203125" style="483" hidden="1" customWidth="1"/>
    <col min="10" max="10" width="13.33203125" style="483" customWidth="1"/>
    <col min="11" max="11" width="8.33203125" style="483" customWidth="1"/>
    <col min="12" max="16384" width="9.109375" style="483"/>
  </cols>
  <sheetData>
    <row r="1" spans="1:11" ht="16.5" customHeight="1">
      <c r="A1" s="1160" t="s">
        <v>3064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</row>
    <row r="2" spans="1:11" ht="10.5" customHeight="1" thickBot="1">
      <c r="A2" s="500"/>
      <c r="B2" s="500"/>
      <c r="C2" s="501"/>
      <c r="D2" s="501"/>
      <c r="E2" s="502"/>
      <c r="F2" s="502"/>
      <c r="G2" s="502"/>
      <c r="H2" s="502"/>
      <c r="I2" s="502"/>
      <c r="J2" s="502"/>
      <c r="K2" s="502"/>
    </row>
    <row r="3" spans="1:11" ht="12" customHeight="1">
      <c r="A3" s="1161" t="s">
        <v>3065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3"/>
    </row>
    <row r="4" spans="1:11" ht="25.5" customHeight="1">
      <c r="A4" s="1164" t="s">
        <v>3066</v>
      </c>
      <c r="B4" s="1165"/>
      <c r="C4" s="1165" t="s">
        <v>1125</v>
      </c>
      <c r="D4" s="1165"/>
      <c r="E4" s="503" t="s">
        <v>3067</v>
      </c>
      <c r="F4" s="503" t="s">
        <v>1126</v>
      </c>
      <c r="G4" s="503" t="s">
        <v>3068</v>
      </c>
      <c r="H4" s="503" t="s">
        <v>1127</v>
      </c>
      <c r="I4" s="503" t="s">
        <v>3069</v>
      </c>
      <c r="J4" s="503" t="s">
        <v>1128</v>
      </c>
      <c r="K4" s="504" t="s">
        <v>1129</v>
      </c>
    </row>
    <row r="5" spans="1:11" ht="21.9" customHeight="1">
      <c r="A5" s="1145" t="s">
        <v>1294</v>
      </c>
      <c r="B5" s="1166"/>
      <c r="C5" s="1166"/>
      <c r="D5" s="1166"/>
      <c r="E5" s="1166"/>
      <c r="F5" s="1166"/>
      <c r="G5" s="1166"/>
      <c r="H5" s="1166"/>
      <c r="I5" s="1166"/>
      <c r="J5" s="1166"/>
      <c r="K5" s="1167"/>
    </row>
    <row r="6" spans="1:11" ht="21.9" customHeight="1">
      <c r="A6" s="1136" t="s">
        <v>3070</v>
      </c>
      <c r="B6" s="1130" t="s">
        <v>3071</v>
      </c>
      <c r="C6" s="493" t="s">
        <v>3072</v>
      </c>
      <c r="D6" s="493" t="s">
        <v>3073</v>
      </c>
      <c r="E6" s="505">
        <v>0</v>
      </c>
      <c r="F6" s="505">
        <f>E6/1000</f>
        <v>0</v>
      </c>
      <c r="G6" s="505">
        <v>729666</v>
      </c>
      <c r="H6" s="505">
        <f>G6/1000</f>
        <v>729.66600000000005</v>
      </c>
      <c r="I6" s="505">
        <v>729666</v>
      </c>
      <c r="J6" s="505">
        <f>I6/1000</f>
        <v>729.66600000000005</v>
      </c>
      <c r="K6" s="506">
        <f>I6/G6</f>
        <v>1</v>
      </c>
    </row>
    <row r="7" spans="1:11" ht="21.9" customHeight="1">
      <c r="A7" s="1136"/>
      <c r="B7" s="1130"/>
      <c r="C7" s="493" t="s">
        <v>3074</v>
      </c>
      <c r="D7" s="493" t="s">
        <v>3075</v>
      </c>
      <c r="E7" s="505">
        <v>0</v>
      </c>
      <c r="F7" s="505">
        <f t="shared" ref="F7:F70" si="0">E7/1000</f>
        <v>0</v>
      </c>
      <c r="G7" s="505">
        <v>825400</v>
      </c>
      <c r="H7" s="505">
        <f t="shared" ref="H7:H70" si="1">G7/1000</f>
        <v>825.4</v>
      </c>
      <c r="I7" s="505">
        <v>811207.2</v>
      </c>
      <c r="J7" s="505">
        <f t="shared" ref="J7:J70" si="2">I7/1000</f>
        <v>811.20719999999994</v>
      </c>
      <c r="K7" s="506">
        <f t="shared" ref="K7:K70" si="3">I7/G7</f>
        <v>0.98280494305791122</v>
      </c>
    </row>
    <row r="8" spans="1:11" ht="21.9" customHeight="1">
      <c r="A8" s="1136"/>
      <c r="B8" s="1130"/>
      <c r="C8" s="493" t="s">
        <v>3076</v>
      </c>
      <c r="D8" s="493" t="s">
        <v>3077</v>
      </c>
      <c r="E8" s="505">
        <v>0</v>
      </c>
      <c r="F8" s="505">
        <f t="shared" si="0"/>
        <v>0</v>
      </c>
      <c r="G8" s="505">
        <v>934</v>
      </c>
      <c r="H8" s="505">
        <f t="shared" si="1"/>
        <v>0.93400000000000005</v>
      </c>
      <c r="I8" s="505">
        <v>934</v>
      </c>
      <c r="J8" s="505">
        <f t="shared" si="2"/>
        <v>0.93400000000000005</v>
      </c>
      <c r="K8" s="506">
        <f t="shared" si="3"/>
        <v>1</v>
      </c>
    </row>
    <row r="9" spans="1:11" ht="21.9" customHeight="1">
      <c r="A9" s="1136"/>
      <c r="B9" s="1130"/>
      <c r="C9" s="493" t="s">
        <v>3078</v>
      </c>
      <c r="D9" s="493" t="s">
        <v>3079</v>
      </c>
      <c r="E9" s="505">
        <v>0</v>
      </c>
      <c r="F9" s="505">
        <f t="shared" si="0"/>
        <v>0</v>
      </c>
      <c r="G9" s="505">
        <v>20000</v>
      </c>
      <c r="H9" s="505">
        <f t="shared" si="1"/>
        <v>20</v>
      </c>
      <c r="I9" s="505">
        <v>0</v>
      </c>
      <c r="J9" s="505">
        <f t="shared" si="2"/>
        <v>0</v>
      </c>
      <c r="K9" s="506">
        <f t="shared" si="3"/>
        <v>0</v>
      </c>
    </row>
    <row r="10" spans="1:11" ht="21.9" customHeight="1">
      <c r="A10" s="1136"/>
      <c r="B10" s="1130"/>
      <c r="C10" s="493" t="s">
        <v>3080</v>
      </c>
      <c r="D10" s="493" t="s">
        <v>3081</v>
      </c>
      <c r="E10" s="505">
        <v>0</v>
      </c>
      <c r="F10" s="505">
        <f t="shared" si="0"/>
        <v>0</v>
      </c>
      <c r="G10" s="505">
        <v>1112000</v>
      </c>
      <c r="H10" s="505">
        <f t="shared" si="1"/>
        <v>1112</v>
      </c>
      <c r="I10" s="505">
        <v>1112000</v>
      </c>
      <c r="J10" s="505">
        <f t="shared" si="2"/>
        <v>1112</v>
      </c>
      <c r="K10" s="506">
        <f t="shared" si="3"/>
        <v>1</v>
      </c>
    </row>
    <row r="11" spans="1:11" ht="21.9" customHeight="1">
      <c r="A11" s="1136"/>
      <c r="B11" s="1130"/>
      <c r="C11" s="493" t="s">
        <v>3082</v>
      </c>
      <c r="D11" s="493" t="s">
        <v>3083</v>
      </c>
      <c r="E11" s="505">
        <v>0</v>
      </c>
      <c r="F11" s="505">
        <f t="shared" si="0"/>
        <v>0</v>
      </c>
      <c r="G11" s="505">
        <v>200000</v>
      </c>
      <c r="H11" s="505">
        <f t="shared" si="1"/>
        <v>200</v>
      </c>
      <c r="I11" s="505">
        <v>200000</v>
      </c>
      <c r="J11" s="505">
        <f t="shared" si="2"/>
        <v>200</v>
      </c>
      <c r="K11" s="506">
        <f t="shared" si="3"/>
        <v>1</v>
      </c>
    </row>
    <row r="12" spans="1:11" ht="21.9" customHeight="1">
      <c r="A12" s="1136"/>
      <c r="B12" s="1130"/>
      <c r="C12" s="493" t="s">
        <v>3084</v>
      </c>
      <c r="D12" s="493" t="s">
        <v>3085</v>
      </c>
      <c r="E12" s="505">
        <v>0</v>
      </c>
      <c r="F12" s="505">
        <f t="shared" si="0"/>
        <v>0</v>
      </c>
      <c r="G12" s="505">
        <v>5000</v>
      </c>
      <c r="H12" s="505">
        <f t="shared" si="1"/>
        <v>5</v>
      </c>
      <c r="I12" s="505">
        <v>5000</v>
      </c>
      <c r="J12" s="505">
        <f t="shared" si="2"/>
        <v>5</v>
      </c>
      <c r="K12" s="506">
        <f t="shared" si="3"/>
        <v>1</v>
      </c>
    </row>
    <row r="13" spans="1:11" ht="21.9" customHeight="1">
      <c r="A13" s="1136"/>
      <c r="B13" s="1130"/>
      <c r="C13" s="493" t="s">
        <v>3086</v>
      </c>
      <c r="D13" s="493" t="s">
        <v>3087</v>
      </c>
      <c r="E13" s="505">
        <v>0</v>
      </c>
      <c r="F13" s="505">
        <f t="shared" si="0"/>
        <v>0</v>
      </c>
      <c r="G13" s="505">
        <v>7000</v>
      </c>
      <c r="H13" s="505">
        <f t="shared" si="1"/>
        <v>7</v>
      </c>
      <c r="I13" s="505">
        <v>7000</v>
      </c>
      <c r="J13" s="505">
        <f t="shared" si="2"/>
        <v>7</v>
      </c>
      <c r="K13" s="506">
        <f t="shared" si="3"/>
        <v>1</v>
      </c>
    </row>
    <row r="14" spans="1:11" ht="21.9" customHeight="1">
      <c r="A14" s="1136"/>
      <c r="B14" s="1130"/>
      <c r="C14" s="493" t="s">
        <v>3088</v>
      </c>
      <c r="D14" s="493" t="s">
        <v>3089</v>
      </c>
      <c r="E14" s="505">
        <v>0</v>
      </c>
      <c r="F14" s="505">
        <f t="shared" si="0"/>
        <v>0</v>
      </c>
      <c r="G14" s="505">
        <v>1100000</v>
      </c>
      <c r="H14" s="505">
        <f t="shared" si="1"/>
        <v>1100</v>
      </c>
      <c r="I14" s="505">
        <v>1100000</v>
      </c>
      <c r="J14" s="505">
        <f t="shared" si="2"/>
        <v>1100</v>
      </c>
      <c r="K14" s="506">
        <f t="shared" si="3"/>
        <v>1</v>
      </c>
    </row>
    <row r="15" spans="1:11" ht="21.9" customHeight="1">
      <c r="A15" s="1158" t="s">
        <v>3090</v>
      </c>
      <c r="B15" s="1159"/>
      <c r="C15" s="1159"/>
      <c r="D15" s="1159"/>
      <c r="E15" s="507">
        <v>0</v>
      </c>
      <c r="F15" s="507">
        <f t="shared" si="0"/>
        <v>0</v>
      </c>
      <c r="G15" s="507">
        <v>4000000</v>
      </c>
      <c r="H15" s="507">
        <f t="shared" si="1"/>
        <v>4000</v>
      </c>
      <c r="I15" s="507">
        <v>3965807.2</v>
      </c>
      <c r="J15" s="507">
        <f t="shared" si="2"/>
        <v>3965.8072000000002</v>
      </c>
      <c r="K15" s="508">
        <f t="shared" si="3"/>
        <v>0.99145179999999999</v>
      </c>
    </row>
    <row r="16" spans="1:11" ht="21.9" customHeight="1">
      <c r="A16" s="1145" t="s">
        <v>1306</v>
      </c>
      <c r="B16" s="1146"/>
      <c r="C16" s="1146"/>
      <c r="D16" s="1146"/>
      <c r="E16" s="1146"/>
      <c r="F16" s="1146"/>
      <c r="G16" s="1146"/>
      <c r="H16" s="1146"/>
      <c r="I16" s="1146"/>
      <c r="J16" s="1146"/>
      <c r="K16" s="1147"/>
    </row>
    <row r="17" spans="1:11" ht="21.9" customHeight="1">
      <c r="A17" s="1136" t="s">
        <v>1162</v>
      </c>
      <c r="B17" s="1130" t="s">
        <v>3091</v>
      </c>
      <c r="C17" s="493" t="s">
        <v>3092</v>
      </c>
      <c r="D17" s="493" t="s">
        <v>3093</v>
      </c>
      <c r="E17" s="505">
        <v>2000000</v>
      </c>
      <c r="F17" s="505">
        <f t="shared" si="0"/>
        <v>2000</v>
      </c>
      <c r="G17" s="505">
        <v>1200456</v>
      </c>
      <c r="H17" s="505">
        <f t="shared" si="1"/>
        <v>1200.4559999999999</v>
      </c>
      <c r="I17" s="505">
        <v>1200456</v>
      </c>
      <c r="J17" s="505">
        <f t="shared" si="2"/>
        <v>1200.4559999999999</v>
      </c>
      <c r="K17" s="506">
        <f t="shared" si="3"/>
        <v>1</v>
      </c>
    </row>
    <row r="18" spans="1:11" ht="21.9" customHeight="1">
      <c r="A18" s="1136"/>
      <c r="B18" s="1130"/>
      <c r="C18" s="493" t="s">
        <v>3094</v>
      </c>
      <c r="D18" s="493" t="s">
        <v>3095</v>
      </c>
      <c r="E18" s="505">
        <v>0</v>
      </c>
      <c r="F18" s="505">
        <f t="shared" si="0"/>
        <v>0</v>
      </c>
      <c r="G18" s="505">
        <v>1420000</v>
      </c>
      <c r="H18" s="505">
        <f t="shared" si="1"/>
        <v>1420</v>
      </c>
      <c r="I18" s="505">
        <v>1420000</v>
      </c>
      <c r="J18" s="505">
        <f t="shared" si="2"/>
        <v>1420</v>
      </c>
      <c r="K18" s="506">
        <f t="shared" si="3"/>
        <v>1</v>
      </c>
    </row>
    <row r="19" spans="1:11" ht="21.9" customHeight="1">
      <c r="A19" s="1136"/>
      <c r="B19" s="1130"/>
      <c r="C19" s="493" t="s">
        <v>3096</v>
      </c>
      <c r="D19" s="493" t="s">
        <v>3097</v>
      </c>
      <c r="E19" s="505">
        <v>531000000</v>
      </c>
      <c r="F19" s="505">
        <f t="shared" si="0"/>
        <v>531000</v>
      </c>
      <c r="G19" s="505">
        <v>827906284</v>
      </c>
      <c r="H19" s="505">
        <f t="shared" si="1"/>
        <v>827906.28399999999</v>
      </c>
      <c r="I19" s="505">
        <v>808570004.29999995</v>
      </c>
      <c r="J19" s="505">
        <f t="shared" si="2"/>
        <v>808570.00429999991</v>
      </c>
      <c r="K19" s="506">
        <f t="shared" si="3"/>
        <v>0.97664436171860236</v>
      </c>
    </row>
    <row r="20" spans="1:11" ht="21.9" customHeight="1">
      <c r="A20" s="1136"/>
      <c r="B20" s="1130"/>
      <c r="C20" s="493" t="s">
        <v>3098</v>
      </c>
      <c r="D20" s="493" t="s">
        <v>3099</v>
      </c>
      <c r="E20" s="505">
        <v>0</v>
      </c>
      <c r="F20" s="505">
        <f t="shared" si="0"/>
        <v>0</v>
      </c>
      <c r="G20" s="505">
        <v>1555000</v>
      </c>
      <c r="H20" s="505">
        <f t="shared" si="1"/>
        <v>1555</v>
      </c>
      <c r="I20" s="505">
        <v>1523921.5</v>
      </c>
      <c r="J20" s="505">
        <f t="shared" si="2"/>
        <v>1523.9214999999999</v>
      </c>
      <c r="K20" s="506">
        <f t="shared" si="3"/>
        <v>0.98001382636655954</v>
      </c>
    </row>
    <row r="21" spans="1:11" ht="21.9" customHeight="1">
      <c r="A21" s="1136"/>
      <c r="B21" s="1130"/>
      <c r="C21" s="493" t="s">
        <v>3100</v>
      </c>
      <c r="D21" s="493" t="s">
        <v>3101</v>
      </c>
      <c r="E21" s="505">
        <v>0</v>
      </c>
      <c r="F21" s="505">
        <f t="shared" si="0"/>
        <v>0</v>
      </c>
      <c r="G21" s="505">
        <v>220917</v>
      </c>
      <c r="H21" s="505">
        <f t="shared" si="1"/>
        <v>220.917</v>
      </c>
      <c r="I21" s="505">
        <v>90514</v>
      </c>
      <c r="J21" s="505">
        <f t="shared" si="2"/>
        <v>90.513999999999996</v>
      </c>
      <c r="K21" s="506">
        <f t="shared" si="3"/>
        <v>0.40971948740929853</v>
      </c>
    </row>
    <row r="22" spans="1:11" ht="21.9" customHeight="1">
      <c r="A22" s="1136"/>
      <c r="B22" s="1130"/>
      <c r="C22" s="493" t="s">
        <v>3102</v>
      </c>
      <c r="D22" s="493" t="s">
        <v>1485</v>
      </c>
      <c r="E22" s="505">
        <v>25000000</v>
      </c>
      <c r="F22" s="505">
        <f t="shared" si="0"/>
        <v>25000</v>
      </c>
      <c r="G22" s="505">
        <v>3449747.53</v>
      </c>
      <c r="H22" s="505">
        <f t="shared" si="1"/>
        <v>3449.7475299999996</v>
      </c>
      <c r="I22" s="505">
        <v>3449747.53</v>
      </c>
      <c r="J22" s="505">
        <f t="shared" si="2"/>
        <v>3449.7475299999996</v>
      </c>
      <c r="K22" s="506">
        <f t="shared" si="3"/>
        <v>1</v>
      </c>
    </row>
    <row r="23" spans="1:11" ht="21.9" customHeight="1">
      <c r="A23" s="1136"/>
      <c r="B23" s="1130"/>
      <c r="C23" s="493" t="s">
        <v>3103</v>
      </c>
      <c r="D23" s="493" t="s">
        <v>3104</v>
      </c>
      <c r="E23" s="505">
        <v>27500000</v>
      </c>
      <c r="F23" s="505">
        <f t="shared" si="0"/>
        <v>27500</v>
      </c>
      <c r="G23" s="505">
        <v>457167878.74000001</v>
      </c>
      <c r="H23" s="505">
        <f t="shared" si="1"/>
        <v>457167.87874000001</v>
      </c>
      <c r="I23" s="505">
        <v>370181448.75999999</v>
      </c>
      <c r="J23" s="505">
        <f t="shared" si="2"/>
        <v>370181.44876</v>
      </c>
      <c r="K23" s="506">
        <f t="shared" si="3"/>
        <v>0.80972759892986523</v>
      </c>
    </row>
    <row r="24" spans="1:11" ht="21.9" customHeight="1">
      <c r="A24" s="509" t="s">
        <v>3105</v>
      </c>
      <c r="B24" s="493" t="s">
        <v>3106</v>
      </c>
      <c r="C24" s="493" t="s">
        <v>3107</v>
      </c>
      <c r="D24" s="493" t="s">
        <v>3108</v>
      </c>
      <c r="E24" s="505">
        <v>307687000</v>
      </c>
      <c r="F24" s="505">
        <f t="shared" si="0"/>
        <v>307687</v>
      </c>
      <c r="G24" s="505">
        <v>326554811</v>
      </c>
      <c r="H24" s="505">
        <f t="shared" si="1"/>
        <v>326554.81099999999</v>
      </c>
      <c r="I24" s="505">
        <v>326554811</v>
      </c>
      <c r="J24" s="505">
        <f t="shared" si="2"/>
        <v>326554.81099999999</v>
      </c>
      <c r="K24" s="506">
        <f t="shared" si="3"/>
        <v>1</v>
      </c>
    </row>
    <row r="25" spans="1:11" ht="21.9" customHeight="1">
      <c r="A25" s="1136" t="s">
        <v>1166</v>
      </c>
      <c r="B25" s="1130" t="s">
        <v>3109</v>
      </c>
      <c r="C25" s="493" t="s">
        <v>3110</v>
      </c>
      <c r="D25" s="493" t="s">
        <v>3111</v>
      </c>
      <c r="E25" s="505">
        <v>0</v>
      </c>
      <c r="F25" s="505">
        <f t="shared" si="0"/>
        <v>0</v>
      </c>
      <c r="G25" s="505">
        <v>3000</v>
      </c>
      <c r="H25" s="505">
        <f t="shared" si="1"/>
        <v>3</v>
      </c>
      <c r="I25" s="505">
        <v>3000</v>
      </c>
      <c r="J25" s="505">
        <f t="shared" si="2"/>
        <v>3</v>
      </c>
      <c r="K25" s="506">
        <f t="shared" si="3"/>
        <v>1</v>
      </c>
    </row>
    <row r="26" spans="1:11" ht="21.9" customHeight="1">
      <c r="A26" s="1136"/>
      <c r="B26" s="1130"/>
      <c r="C26" s="493" t="s">
        <v>3072</v>
      </c>
      <c r="D26" s="493" t="s">
        <v>3073</v>
      </c>
      <c r="E26" s="505">
        <v>0</v>
      </c>
      <c r="F26" s="505">
        <f t="shared" si="0"/>
        <v>0</v>
      </c>
      <c r="G26" s="505">
        <v>44964</v>
      </c>
      <c r="H26" s="505">
        <f t="shared" si="1"/>
        <v>44.963999999999999</v>
      </c>
      <c r="I26" s="505">
        <v>44964</v>
      </c>
      <c r="J26" s="505">
        <f t="shared" si="2"/>
        <v>44.963999999999999</v>
      </c>
      <c r="K26" s="506">
        <f t="shared" si="3"/>
        <v>1</v>
      </c>
    </row>
    <row r="27" spans="1:11" ht="21.9" customHeight="1">
      <c r="A27" s="1136"/>
      <c r="B27" s="1130"/>
      <c r="C27" s="493" t="s">
        <v>3074</v>
      </c>
      <c r="D27" s="493" t="s">
        <v>3075</v>
      </c>
      <c r="E27" s="505">
        <v>1500000</v>
      </c>
      <c r="F27" s="505">
        <f t="shared" si="0"/>
        <v>1500</v>
      </c>
      <c r="G27" s="505">
        <v>138859.46999999997</v>
      </c>
      <c r="H27" s="505">
        <f t="shared" si="1"/>
        <v>138.85946999999996</v>
      </c>
      <c r="I27" s="505">
        <v>89292.800000000003</v>
      </c>
      <c r="J27" s="505">
        <f t="shared" si="2"/>
        <v>89.2928</v>
      </c>
      <c r="K27" s="506">
        <f t="shared" si="3"/>
        <v>0.64304436708565882</v>
      </c>
    </row>
    <row r="28" spans="1:11" ht="21.9" customHeight="1">
      <c r="A28" s="1136"/>
      <c r="B28" s="1130"/>
      <c r="C28" s="493" t="s">
        <v>3112</v>
      </c>
      <c r="D28" s="493" t="s">
        <v>3113</v>
      </c>
      <c r="E28" s="505">
        <v>0</v>
      </c>
      <c r="F28" s="505">
        <f t="shared" si="0"/>
        <v>0</v>
      </c>
      <c r="G28" s="505">
        <v>400000</v>
      </c>
      <c r="H28" s="505">
        <f t="shared" si="1"/>
        <v>400</v>
      </c>
      <c r="I28" s="505">
        <v>400000</v>
      </c>
      <c r="J28" s="505">
        <f t="shared" si="2"/>
        <v>400</v>
      </c>
      <c r="K28" s="506">
        <f t="shared" si="3"/>
        <v>1</v>
      </c>
    </row>
    <row r="29" spans="1:11" ht="21.9" customHeight="1">
      <c r="A29" s="1136" t="s">
        <v>1170</v>
      </c>
      <c r="B29" s="1130" t="s">
        <v>3114</v>
      </c>
      <c r="C29" s="493" t="s">
        <v>3115</v>
      </c>
      <c r="D29" s="493" t="s">
        <v>1492</v>
      </c>
      <c r="E29" s="505">
        <v>0</v>
      </c>
      <c r="F29" s="505">
        <f t="shared" si="0"/>
        <v>0</v>
      </c>
      <c r="G29" s="505">
        <v>7000</v>
      </c>
      <c r="H29" s="505">
        <f t="shared" si="1"/>
        <v>7</v>
      </c>
      <c r="I29" s="505">
        <v>7000</v>
      </c>
      <c r="J29" s="505">
        <f t="shared" si="2"/>
        <v>7</v>
      </c>
      <c r="K29" s="506">
        <f t="shared" si="3"/>
        <v>1</v>
      </c>
    </row>
    <row r="30" spans="1:11" ht="21.9" customHeight="1">
      <c r="A30" s="1136"/>
      <c r="B30" s="1130"/>
      <c r="C30" s="493" t="s">
        <v>3074</v>
      </c>
      <c r="D30" s="493" t="s">
        <v>3075</v>
      </c>
      <c r="E30" s="505">
        <v>0</v>
      </c>
      <c r="F30" s="505">
        <f t="shared" si="0"/>
        <v>0</v>
      </c>
      <c r="G30" s="505">
        <v>210600</v>
      </c>
      <c r="H30" s="505">
        <f t="shared" si="1"/>
        <v>210.6</v>
      </c>
      <c r="I30" s="505">
        <v>210600</v>
      </c>
      <c r="J30" s="505">
        <f t="shared" si="2"/>
        <v>210.6</v>
      </c>
      <c r="K30" s="506">
        <f t="shared" si="3"/>
        <v>1</v>
      </c>
    </row>
    <row r="31" spans="1:11" ht="21.9" customHeight="1">
      <c r="A31" s="1136"/>
      <c r="B31" s="1130"/>
      <c r="C31" s="493" t="s">
        <v>3116</v>
      </c>
      <c r="D31" s="493" t="s">
        <v>3117</v>
      </c>
      <c r="E31" s="505">
        <v>0</v>
      </c>
      <c r="F31" s="505">
        <f t="shared" si="0"/>
        <v>0</v>
      </c>
      <c r="G31" s="505">
        <v>270872</v>
      </c>
      <c r="H31" s="505">
        <f t="shared" si="1"/>
        <v>270.87200000000001</v>
      </c>
      <c r="I31" s="505">
        <v>270872</v>
      </c>
      <c r="J31" s="505">
        <f t="shared" si="2"/>
        <v>270.87200000000001</v>
      </c>
      <c r="K31" s="506">
        <f t="shared" si="3"/>
        <v>1</v>
      </c>
    </row>
    <row r="32" spans="1:11" ht="21.9" customHeight="1">
      <c r="A32" s="509" t="s">
        <v>3118</v>
      </c>
      <c r="B32" s="493" t="s">
        <v>3119</v>
      </c>
      <c r="C32" s="493" t="s">
        <v>3107</v>
      </c>
      <c r="D32" s="493" t="s">
        <v>3108</v>
      </c>
      <c r="E32" s="505">
        <v>383713000</v>
      </c>
      <c r="F32" s="505">
        <f t="shared" si="0"/>
        <v>383713</v>
      </c>
      <c r="G32" s="505">
        <v>519672209.56</v>
      </c>
      <c r="H32" s="505">
        <f t="shared" si="1"/>
        <v>519672.20955999999</v>
      </c>
      <c r="I32" s="505">
        <v>519613379</v>
      </c>
      <c r="J32" s="505">
        <f t="shared" si="2"/>
        <v>519613.37900000002</v>
      </c>
      <c r="K32" s="506">
        <f t="shared" si="3"/>
        <v>0.99988679294578819</v>
      </c>
    </row>
    <row r="33" spans="1:11" ht="21.9" customHeight="1">
      <c r="A33" s="509" t="s">
        <v>3120</v>
      </c>
      <c r="B33" s="493" t="s">
        <v>3121</v>
      </c>
      <c r="C33" s="493" t="s">
        <v>3074</v>
      </c>
      <c r="D33" s="493" t="s">
        <v>3075</v>
      </c>
      <c r="E33" s="505">
        <v>0</v>
      </c>
      <c r="F33" s="505">
        <f t="shared" si="0"/>
        <v>0</v>
      </c>
      <c r="G33" s="505">
        <v>74880</v>
      </c>
      <c r="H33" s="505">
        <f t="shared" si="1"/>
        <v>74.88</v>
      </c>
      <c r="I33" s="505">
        <v>74880</v>
      </c>
      <c r="J33" s="505">
        <f t="shared" si="2"/>
        <v>74.88</v>
      </c>
      <c r="K33" s="506">
        <f t="shared" si="3"/>
        <v>1</v>
      </c>
    </row>
    <row r="34" spans="1:11" ht="21.9" customHeight="1">
      <c r="A34" s="509" t="s">
        <v>3122</v>
      </c>
      <c r="B34" s="493" t="s">
        <v>3123</v>
      </c>
      <c r="C34" s="493" t="s">
        <v>3124</v>
      </c>
      <c r="D34" s="493" t="s">
        <v>3125</v>
      </c>
      <c r="E34" s="505">
        <v>0</v>
      </c>
      <c r="F34" s="505">
        <f t="shared" si="0"/>
        <v>0</v>
      </c>
      <c r="G34" s="505">
        <v>20000</v>
      </c>
      <c r="H34" s="505">
        <f t="shared" si="1"/>
        <v>20</v>
      </c>
      <c r="I34" s="505">
        <v>20000</v>
      </c>
      <c r="J34" s="505">
        <f t="shared" si="2"/>
        <v>20</v>
      </c>
      <c r="K34" s="506">
        <f t="shared" si="3"/>
        <v>1</v>
      </c>
    </row>
    <row r="35" spans="1:11" ht="21.9" customHeight="1">
      <c r="A35" s="1136" t="s">
        <v>3126</v>
      </c>
      <c r="B35" s="1130" t="s">
        <v>3127</v>
      </c>
      <c r="C35" s="493" t="s">
        <v>3092</v>
      </c>
      <c r="D35" s="493" t="s">
        <v>3093</v>
      </c>
      <c r="E35" s="505">
        <v>0</v>
      </c>
      <c r="F35" s="505">
        <f t="shared" si="0"/>
        <v>0</v>
      </c>
      <c r="G35" s="505">
        <v>3482621</v>
      </c>
      <c r="H35" s="505">
        <f t="shared" si="1"/>
        <v>3482.6210000000001</v>
      </c>
      <c r="I35" s="505">
        <v>750621</v>
      </c>
      <c r="J35" s="505">
        <f t="shared" si="2"/>
        <v>750.62099999999998</v>
      </c>
      <c r="K35" s="506">
        <f t="shared" si="3"/>
        <v>0.21553335835280382</v>
      </c>
    </row>
    <row r="36" spans="1:11" ht="21.9" customHeight="1">
      <c r="A36" s="1136"/>
      <c r="B36" s="1130"/>
      <c r="C36" s="493" t="s">
        <v>3074</v>
      </c>
      <c r="D36" s="493" t="s">
        <v>3075</v>
      </c>
      <c r="E36" s="505">
        <v>5400000</v>
      </c>
      <c r="F36" s="505">
        <f t="shared" si="0"/>
        <v>5400</v>
      </c>
      <c r="G36" s="505">
        <v>4380000</v>
      </c>
      <c r="H36" s="505">
        <f t="shared" si="1"/>
        <v>4380</v>
      </c>
      <c r="I36" s="505">
        <v>3322808</v>
      </c>
      <c r="J36" s="505">
        <f t="shared" si="2"/>
        <v>3322.808</v>
      </c>
      <c r="K36" s="506">
        <f t="shared" si="3"/>
        <v>0.75863196347031958</v>
      </c>
    </row>
    <row r="37" spans="1:11" ht="21.9" customHeight="1">
      <c r="A37" s="1136"/>
      <c r="B37" s="1130"/>
      <c r="C37" s="493" t="s">
        <v>3128</v>
      </c>
      <c r="D37" s="493" t="s">
        <v>1319</v>
      </c>
      <c r="E37" s="505">
        <v>0</v>
      </c>
      <c r="F37" s="505">
        <f t="shared" si="0"/>
        <v>0</v>
      </c>
      <c r="G37" s="505">
        <v>1320000</v>
      </c>
      <c r="H37" s="505">
        <f t="shared" si="1"/>
        <v>1320</v>
      </c>
      <c r="I37" s="505">
        <v>1320000</v>
      </c>
      <c r="J37" s="505">
        <f t="shared" si="2"/>
        <v>1320</v>
      </c>
      <c r="K37" s="506">
        <f t="shared" si="3"/>
        <v>1</v>
      </c>
    </row>
    <row r="38" spans="1:11" ht="21.9" customHeight="1">
      <c r="A38" s="1156" t="s">
        <v>3129</v>
      </c>
      <c r="B38" s="1157"/>
      <c r="C38" s="1157"/>
      <c r="D38" s="1157"/>
      <c r="E38" s="507">
        <v>1283800000</v>
      </c>
      <c r="F38" s="507">
        <f t="shared" si="0"/>
        <v>1283800</v>
      </c>
      <c r="G38" s="507">
        <v>2149500100.3000002</v>
      </c>
      <c r="H38" s="507">
        <f t="shared" si="1"/>
        <v>2149500.1003</v>
      </c>
      <c r="I38" s="507">
        <v>2039118319.8900001</v>
      </c>
      <c r="J38" s="507">
        <f t="shared" si="2"/>
        <v>2039118.3198900002</v>
      </c>
      <c r="K38" s="508">
        <f t="shared" si="3"/>
        <v>0.94864769701820695</v>
      </c>
    </row>
    <row r="39" spans="1:11" ht="21.9" customHeight="1">
      <c r="A39" s="1145" t="s">
        <v>1336</v>
      </c>
      <c r="B39" s="1146"/>
      <c r="C39" s="1146"/>
      <c r="D39" s="1146"/>
      <c r="E39" s="1146"/>
      <c r="F39" s="1146"/>
      <c r="G39" s="1146"/>
      <c r="H39" s="1146"/>
      <c r="I39" s="1146"/>
      <c r="J39" s="1146"/>
      <c r="K39" s="1147"/>
    </row>
    <row r="40" spans="1:11" ht="21.9" customHeight="1">
      <c r="A40" s="1136" t="s">
        <v>3130</v>
      </c>
      <c r="B40" s="1130" t="s">
        <v>3131</v>
      </c>
      <c r="C40" s="493" t="s">
        <v>3132</v>
      </c>
      <c r="D40" s="493" t="s">
        <v>1470</v>
      </c>
      <c r="E40" s="505">
        <v>0</v>
      </c>
      <c r="F40" s="505">
        <f t="shared" si="0"/>
        <v>0</v>
      </c>
      <c r="G40" s="505">
        <v>417530</v>
      </c>
      <c r="H40" s="505">
        <f t="shared" si="1"/>
        <v>417.53</v>
      </c>
      <c r="I40" s="505">
        <v>417530</v>
      </c>
      <c r="J40" s="505">
        <f t="shared" si="2"/>
        <v>417.53</v>
      </c>
      <c r="K40" s="506">
        <f t="shared" si="3"/>
        <v>1</v>
      </c>
    </row>
    <row r="41" spans="1:11" ht="21.9" customHeight="1">
      <c r="A41" s="1136"/>
      <c r="B41" s="1130"/>
      <c r="C41" s="493" t="s">
        <v>3133</v>
      </c>
      <c r="D41" s="493" t="s">
        <v>3134</v>
      </c>
      <c r="E41" s="505">
        <v>0</v>
      </c>
      <c r="F41" s="505">
        <f t="shared" si="0"/>
        <v>0</v>
      </c>
      <c r="G41" s="505">
        <v>104387</v>
      </c>
      <c r="H41" s="505">
        <f t="shared" si="1"/>
        <v>104.387</v>
      </c>
      <c r="I41" s="505">
        <v>104387</v>
      </c>
      <c r="J41" s="505">
        <f t="shared" si="2"/>
        <v>104.387</v>
      </c>
      <c r="K41" s="506">
        <f t="shared" si="3"/>
        <v>1</v>
      </c>
    </row>
    <row r="42" spans="1:11" ht="21.9" customHeight="1">
      <c r="A42" s="1136"/>
      <c r="B42" s="1130"/>
      <c r="C42" s="493" t="s">
        <v>3135</v>
      </c>
      <c r="D42" s="493" t="s">
        <v>3136</v>
      </c>
      <c r="E42" s="505">
        <v>0</v>
      </c>
      <c r="F42" s="505">
        <f t="shared" si="0"/>
        <v>0</v>
      </c>
      <c r="G42" s="505">
        <v>37579</v>
      </c>
      <c r="H42" s="505">
        <f t="shared" si="1"/>
        <v>37.579000000000001</v>
      </c>
      <c r="I42" s="505">
        <v>37579</v>
      </c>
      <c r="J42" s="505">
        <f t="shared" si="2"/>
        <v>37.579000000000001</v>
      </c>
      <c r="K42" s="506">
        <f t="shared" si="3"/>
        <v>1</v>
      </c>
    </row>
    <row r="43" spans="1:11" ht="21.9" customHeight="1">
      <c r="A43" s="1136"/>
      <c r="B43" s="1130"/>
      <c r="C43" s="493" t="s">
        <v>3072</v>
      </c>
      <c r="D43" s="493" t="s">
        <v>3073</v>
      </c>
      <c r="E43" s="505">
        <v>0</v>
      </c>
      <c r="F43" s="505">
        <f t="shared" si="0"/>
        <v>0</v>
      </c>
      <c r="G43" s="505">
        <v>127493</v>
      </c>
      <c r="H43" s="505">
        <f t="shared" si="1"/>
        <v>127.49299999999999</v>
      </c>
      <c r="I43" s="505">
        <v>127493</v>
      </c>
      <c r="J43" s="505">
        <f t="shared" si="2"/>
        <v>127.49299999999999</v>
      </c>
      <c r="K43" s="506">
        <f t="shared" si="3"/>
        <v>1</v>
      </c>
    </row>
    <row r="44" spans="1:11" ht="21.9" customHeight="1">
      <c r="A44" s="1136"/>
      <c r="B44" s="1130"/>
      <c r="C44" s="493" t="s">
        <v>3074</v>
      </c>
      <c r="D44" s="493" t="s">
        <v>3075</v>
      </c>
      <c r="E44" s="505">
        <v>0</v>
      </c>
      <c r="F44" s="505">
        <f t="shared" si="0"/>
        <v>0</v>
      </c>
      <c r="G44" s="505">
        <v>9625</v>
      </c>
      <c r="H44" s="505">
        <f t="shared" si="1"/>
        <v>9.625</v>
      </c>
      <c r="I44" s="505">
        <v>9625</v>
      </c>
      <c r="J44" s="505">
        <f t="shared" si="2"/>
        <v>9.625</v>
      </c>
      <c r="K44" s="506">
        <f t="shared" si="3"/>
        <v>1</v>
      </c>
    </row>
    <row r="45" spans="1:11" ht="21.9" customHeight="1">
      <c r="A45" s="1136"/>
      <c r="B45" s="1130"/>
      <c r="C45" s="493" t="s">
        <v>3137</v>
      </c>
      <c r="D45" s="493" t="s">
        <v>3138</v>
      </c>
      <c r="E45" s="505">
        <v>0</v>
      </c>
      <c r="F45" s="505">
        <f t="shared" si="0"/>
        <v>0</v>
      </c>
      <c r="G45" s="505">
        <v>190583.35</v>
      </c>
      <c r="H45" s="505">
        <f t="shared" si="1"/>
        <v>190.58335</v>
      </c>
      <c r="I45" s="505">
        <v>190583.35</v>
      </c>
      <c r="J45" s="505">
        <f t="shared" si="2"/>
        <v>190.58335</v>
      </c>
      <c r="K45" s="506">
        <f t="shared" si="3"/>
        <v>1</v>
      </c>
    </row>
    <row r="46" spans="1:11" ht="21.9" customHeight="1">
      <c r="A46" s="1136"/>
      <c r="B46" s="1130"/>
      <c r="C46" s="493" t="s">
        <v>3076</v>
      </c>
      <c r="D46" s="493" t="s">
        <v>3077</v>
      </c>
      <c r="E46" s="505">
        <v>0</v>
      </c>
      <c r="F46" s="505">
        <f t="shared" si="0"/>
        <v>0</v>
      </c>
      <c r="G46" s="505">
        <v>11045</v>
      </c>
      <c r="H46" s="505">
        <f t="shared" si="1"/>
        <v>11.045</v>
      </c>
      <c r="I46" s="505">
        <v>11045</v>
      </c>
      <c r="J46" s="505">
        <f t="shared" si="2"/>
        <v>11.045</v>
      </c>
      <c r="K46" s="506">
        <f t="shared" si="3"/>
        <v>1</v>
      </c>
    </row>
    <row r="47" spans="1:11" ht="21.9" customHeight="1">
      <c r="A47" s="1136"/>
      <c r="B47" s="1130"/>
      <c r="C47" s="493" t="s">
        <v>3139</v>
      </c>
      <c r="D47" s="493" t="s">
        <v>3140</v>
      </c>
      <c r="E47" s="505">
        <v>250000</v>
      </c>
      <c r="F47" s="505">
        <f t="shared" si="0"/>
        <v>250</v>
      </c>
      <c r="G47" s="505">
        <v>151757.65</v>
      </c>
      <c r="H47" s="505">
        <f t="shared" si="1"/>
        <v>151.75764999999998</v>
      </c>
      <c r="I47" s="505">
        <v>0</v>
      </c>
      <c r="J47" s="505">
        <f t="shared" si="2"/>
        <v>0</v>
      </c>
      <c r="K47" s="506">
        <f t="shared" si="3"/>
        <v>0</v>
      </c>
    </row>
    <row r="48" spans="1:11" ht="21.9" customHeight="1">
      <c r="A48" s="509" t="s">
        <v>3141</v>
      </c>
      <c r="B48" s="493" t="s">
        <v>3142</v>
      </c>
      <c r="C48" s="493" t="s">
        <v>3132</v>
      </c>
      <c r="D48" s="493" t="s">
        <v>1470</v>
      </c>
      <c r="E48" s="505">
        <v>400000</v>
      </c>
      <c r="F48" s="505">
        <f t="shared" si="0"/>
        <v>400</v>
      </c>
      <c r="G48" s="505">
        <v>365890</v>
      </c>
      <c r="H48" s="505">
        <f t="shared" si="1"/>
        <v>365.89</v>
      </c>
      <c r="I48" s="505">
        <v>365890</v>
      </c>
      <c r="J48" s="505">
        <f t="shared" si="2"/>
        <v>365.89</v>
      </c>
      <c r="K48" s="506">
        <f t="shared" si="3"/>
        <v>1</v>
      </c>
    </row>
    <row r="49" spans="1:11" ht="21.9" customHeight="1">
      <c r="A49" s="1136" t="s">
        <v>3141</v>
      </c>
      <c r="B49" s="1130" t="s">
        <v>3142</v>
      </c>
      <c r="C49" s="493" t="s">
        <v>3133</v>
      </c>
      <c r="D49" s="493" t="s">
        <v>3134</v>
      </c>
      <c r="E49" s="505">
        <v>100000</v>
      </c>
      <c r="F49" s="505">
        <f t="shared" si="0"/>
        <v>100</v>
      </c>
      <c r="G49" s="505">
        <v>91978</v>
      </c>
      <c r="H49" s="505">
        <f t="shared" si="1"/>
        <v>91.977999999999994</v>
      </c>
      <c r="I49" s="505">
        <v>91978</v>
      </c>
      <c r="J49" s="505">
        <f t="shared" si="2"/>
        <v>91.977999999999994</v>
      </c>
      <c r="K49" s="506">
        <f t="shared" si="3"/>
        <v>1</v>
      </c>
    </row>
    <row r="50" spans="1:11" ht="21.9" customHeight="1">
      <c r="A50" s="1136"/>
      <c r="B50" s="1130"/>
      <c r="C50" s="493" t="s">
        <v>3135</v>
      </c>
      <c r="D50" s="493" t="s">
        <v>3136</v>
      </c>
      <c r="E50" s="505">
        <v>40000</v>
      </c>
      <c r="F50" s="505">
        <f t="shared" si="0"/>
        <v>40</v>
      </c>
      <c r="G50" s="505">
        <v>33108</v>
      </c>
      <c r="H50" s="505">
        <f t="shared" si="1"/>
        <v>33.107999999999997</v>
      </c>
      <c r="I50" s="505">
        <v>33108</v>
      </c>
      <c r="J50" s="505">
        <f t="shared" si="2"/>
        <v>33.107999999999997</v>
      </c>
      <c r="K50" s="506">
        <f t="shared" si="3"/>
        <v>1</v>
      </c>
    </row>
    <row r="51" spans="1:11" ht="21.9" customHeight="1">
      <c r="A51" s="1136"/>
      <c r="B51" s="1130"/>
      <c r="C51" s="493" t="s">
        <v>3143</v>
      </c>
      <c r="D51" s="493" t="s">
        <v>3144</v>
      </c>
      <c r="E51" s="505">
        <v>2000</v>
      </c>
      <c r="F51" s="505">
        <f t="shared" si="0"/>
        <v>2</v>
      </c>
      <c r="G51" s="505">
        <v>1586</v>
      </c>
      <c r="H51" s="505">
        <f t="shared" si="1"/>
        <v>1.5860000000000001</v>
      </c>
      <c r="I51" s="505">
        <v>1586</v>
      </c>
      <c r="J51" s="505">
        <f t="shared" si="2"/>
        <v>1.5860000000000001</v>
      </c>
      <c r="K51" s="506">
        <f t="shared" si="3"/>
        <v>1</v>
      </c>
    </row>
    <row r="52" spans="1:11" ht="21.9" customHeight="1">
      <c r="A52" s="1136"/>
      <c r="B52" s="1130"/>
      <c r="C52" s="493" t="s">
        <v>3145</v>
      </c>
      <c r="D52" s="493" t="s">
        <v>3146</v>
      </c>
      <c r="E52" s="505">
        <v>1000</v>
      </c>
      <c r="F52" s="505">
        <f t="shared" si="0"/>
        <v>1</v>
      </c>
      <c r="G52" s="505">
        <v>0</v>
      </c>
      <c r="H52" s="505">
        <f t="shared" si="1"/>
        <v>0</v>
      </c>
      <c r="I52" s="505">
        <v>0</v>
      </c>
      <c r="J52" s="505">
        <f t="shared" si="2"/>
        <v>0</v>
      </c>
      <c r="K52" s="510" t="s">
        <v>1147</v>
      </c>
    </row>
    <row r="53" spans="1:11" ht="21.9" customHeight="1">
      <c r="A53" s="1136"/>
      <c r="B53" s="1130"/>
      <c r="C53" s="493" t="s">
        <v>3072</v>
      </c>
      <c r="D53" s="493" t="s">
        <v>3073</v>
      </c>
      <c r="E53" s="505">
        <v>30000</v>
      </c>
      <c r="F53" s="505">
        <f t="shared" si="0"/>
        <v>30</v>
      </c>
      <c r="G53" s="505">
        <v>11757.689999999999</v>
      </c>
      <c r="H53" s="505">
        <f t="shared" si="1"/>
        <v>11.757689999999998</v>
      </c>
      <c r="I53" s="505">
        <v>11757.69</v>
      </c>
      <c r="J53" s="505">
        <f t="shared" si="2"/>
        <v>11.75769</v>
      </c>
      <c r="K53" s="506">
        <f t="shared" si="3"/>
        <v>1.0000000000000002</v>
      </c>
    </row>
    <row r="54" spans="1:11" ht="21.9" customHeight="1">
      <c r="A54" s="1136"/>
      <c r="B54" s="1130"/>
      <c r="C54" s="493" t="s">
        <v>3147</v>
      </c>
      <c r="D54" s="493" t="s">
        <v>1418</v>
      </c>
      <c r="E54" s="505">
        <v>0</v>
      </c>
      <c r="F54" s="505">
        <f t="shared" si="0"/>
        <v>0</v>
      </c>
      <c r="G54" s="505">
        <v>0</v>
      </c>
      <c r="H54" s="505">
        <f t="shared" si="1"/>
        <v>0</v>
      </c>
      <c r="I54" s="505">
        <v>1963.51</v>
      </c>
      <c r="J54" s="505">
        <f t="shared" si="2"/>
        <v>1.9635100000000001</v>
      </c>
      <c r="K54" s="510" t="s">
        <v>1147</v>
      </c>
    </row>
    <row r="55" spans="1:11" ht="21.9" customHeight="1">
      <c r="A55" s="1136"/>
      <c r="B55" s="1130"/>
      <c r="C55" s="493" t="s">
        <v>3148</v>
      </c>
      <c r="D55" s="493" t="s">
        <v>3149</v>
      </c>
      <c r="E55" s="505">
        <v>6000</v>
      </c>
      <c r="F55" s="505">
        <f t="shared" si="0"/>
        <v>6</v>
      </c>
      <c r="G55" s="505">
        <v>11363.42</v>
      </c>
      <c r="H55" s="505">
        <f t="shared" si="1"/>
        <v>11.36342</v>
      </c>
      <c r="I55" s="505">
        <v>11363.42</v>
      </c>
      <c r="J55" s="505">
        <f t="shared" si="2"/>
        <v>11.36342</v>
      </c>
      <c r="K55" s="506">
        <f t="shared" si="3"/>
        <v>1</v>
      </c>
    </row>
    <row r="56" spans="1:11" ht="21.9" customHeight="1">
      <c r="A56" s="1136"/>
      <c r="B56" s="1130"/>
      <c r="C56" s="493" t="s">
        <v>3150</v>
      </c>
      <c r="D56" s="493" t="s">
        <v>3151</v>
      </c>
      <c r="E56" s="505">
        <v>3000</v>
      </c>
      <c r="F56" s="505">
        <f t="shared" si="0"/>
        <v>3</v>
      </c>
      <c r="G56" s="505">
        <v>168.32000000000005</v>
      </c>
      <c r="H56" s="505">
        <f t="shared" si="1"/>
        <v>0.16832000000000005</v>
      </c>
      <c r="I56" s="505">
        <v>168.32</v>
      </c>
      <c r="J56" s="505">
        <f t="shared" si="2"/>
        <v>0.16832</v>
      </c>
      <c r="K56" s="506">
        <f t="shared" si="3"/>
        <v>0.99999999999999967</v>
      </c>
    </row>
    <row r="57" spans="1:11" ht="21.9" customHeight="1">
      <c r="A57" s="1136"/>
      <c r="B57" s="1130"/>
      <c r="C57" s="493" t="s">
        <v>3152</v>
      </c>
      <c r="D57" s="493" t="s">
        <v>3153</v>
      </c>
      <c r="E57" s="505">
        <v>250000</v>
      </c>
      <c r="F57" s="505">
        <f t="shared" si="0"/>
        <v>250</v>
      </c>
      <c r="G57" s="505">
        <v>187211.54</v>
      </c>
      <c r="H57" s="505">
        <f t="shared" si="1"/>
        <v>187.21154000000001</v>
      </c>
      <c r="I57" s="505">
        <v>187211.54</v>
      </c>
      <c r="J57" s="505">
        <f t="shared" si="2"/>
        <v>187.21154000000001</v>
      </c>
      <c r="K57" s="506">
        <f t="shared" si="3"/>
        <v>1</v>
      </c>
    </row>
    <row r="58" spans="1:11" ht="21.9" customHeight="1">
      <c r="A58" s="1136"/>
      <c r="B58" s="1130"/>
      <c r="C58" s="493" t="s">
        <v>3154</v>
      </c>
      <c r="D58" s="493" t="s">
        <v>3155</v>
      </c>
      <c r="E58" s="505">
        <v>40000</v>
      </c>
      <c r="F58" s="505">
        <f t="shared" si="0"/>
        <v>40</v>
      </c>
      <c r="G58" s="505">
        <v>35183.360000000001</v>
      </c>
      <c r="H58" s="505">
        <f t="shared" si="1"/>
        <v>35.18336</v>
      </c>
      <c r="I58" s="505">
        <v>35183.360000000001</v>
      </c>
      <c r="J58" s="505">
        <f t="shared" si="2"/>
        <v>35.18336</v>
      </c>
      <c r="K58" s="506">
        <f t="shared" si="3"/>
        <v>1</v>
      </c>
    </row>
    <row r="59" spans="1:11" ht="21.9" customHeight="1">
      <c r="A59" s="1136"/>
      <c r="B59" s="1130"/>
      <c r="C59" s="493" t="s">
        <v>3156</v>
      </c>
      <c r="D59" s="493" t="s">
        <v>3157</v>
      </c>
      <c r="E59" s="505">
        <v>0</v>
      </c>
      <c r="F59" s="505">
        <f t="shared" si="0"/>
        <v>0</v>
      </c>
      <c r="G59" s="505">
        <v>25050.480000000003</v>
      </c>
      <c r="H59" s="505">
        <f t="shared" si="1"/>
        <v>25.050480000000004</v>
      </c>
      <c r="I59" s="505">
        <v>25050.480000000003</v>
      </c>
      <c r="J59" s="505">
        <f t="shared" si="2"/>
        <v>25.050480000000004</v>
      </c>
      <c r="K59" s="506">
        <f t="shared" si="3"/>
        <v>1</v>
      </c>
    </row>
    <row r="60" spans="1:11" ht="21.9" customHeight="1">
      <c r="A60" s="1136"/>
      <c r="B60" s="1130"/>
      <c r="C60" s="493" t="s">
        <v>3074</v>
      </c>
      <c r="D60" s="493" t="s">
        <v>3075</v>
      </c>
      <c r="E60" s="505">
        <v>2840000</v>
      </c>
      <c r="F60" s="505">
        <f t="shared" si="0"/>
        <v>2840</v>
      </c>
      <c r="G60" s="505">
        <v>1047826</v>
      </c>
      <c r="H60" s="505">
        <f t="shared" si="1"/>
        <v>1047.826</v>
      </c>
      <c r="I60" s="505">
        <v>1047826</v>
      </c>
      <c r="J60" s="505">
        <f t="shared" si="2"/>
        <v>1047.826</v>
      </c>
      <c r="K60" s="506">
        <f t="shared" si="3"/>
        <v>1</v>
      </c>
    </row>
    <row r="61" spans="1:11" ht="21.9" customHeight="1">
      <c r="A61" s="1136"/>
      <c r="B61" s="1130"/>
      <c r="C61" s="493" t="s">
        <v>3137</v>
      </c>
      <c r="D61" s="493" t="s">
        <v>3138</v>
      </c>
      <c r="E61" s="505">
        <v>800000</v>
      </c>
      <c r="F61" s="505">
        <f t="shared" si="0"/>
        <v>800</v>
      </c>
      <c r="G61" s="505">
        <v>835289.79</v>
      </c>
      <c r="H61" s="505">
        <f t="shared" si="1"/>
        <v>835.28979000000004</v>
      </c>
      <c r="I61" s="505">
        <v>835289.79</v>
      </c>
      <c r="J61" s="505">
        <f t="shared" si="2"/>
        <v>835.28979000000004</v>
      </c>
      <c r="K61" s="506">
        <f t="shared" si="3"/>
        <v>1</v>
      </c>
    </row>
    <row r="62" spans="1:11" ht="21.9" customHeight="1">
      <c r="A62" s="1136"/>
      <c r="B62" s="1130"/>
      <c r="C62" s="493" t="s">
        <v>3076</v>
      </c>
      <c r="D62" s="493" t="s">
        <v>3077</v>
      </c>
      <c r="E62" s="505">
        <v>450000</v>
      </c>
      <c r="F62" s="505">
        <f t="shared" si="0"/>
        <v>450</v>
      </c>
      <c r="G62" s="505">
        <v>787233.83</v>
      </c>
      <c r="H62" s="505">
        <f t="shared" si="1"/>
        <v>787.23383000000001</v>
      </c>
      <c r="I62" s="505">
        <v>787233.83</v>
      </c>
      <c r="J62" s="505">
        <f t="shared" si="2"/>
        <v>787.23383000000001</v>
      </c>
      <c r="K62" s="506">
        <f t="shared" si="3"/>
        <v>1</v>
      </c>
    </row>
    <row r="63" spans="1:11" ht="21.9" customHeight="1">
      <c r="A63" s="1136"/>
      <c r="B63" s="1130"/>
      <c r="C63" s="493" t="s">
        <v>3139</v>
      </c>
      <c r="D63" s="493" t="s">
        <v>3140</v>
      </c>
      <c r="E63" s="505">
        <v>35000</v>
      </c>
      <c r="F63" s="505">
        <f t="shared" si="0"/>
        <v>35</v>
      </c>
      <c r="G63" s="505">
        <v>0</v>
      </c>
      <c r="H63" s="505">
        <f t="shared" si="1"/>
        <v>0</v>
      </c>
      <c r="I63" s="505">
        <v>0</v>
      </c>
      <c r="J63" s="505">
        <f t="shared" si="2"/>
        <v>0</v>
      </c>
      <c r="K63" s="510" t="s">
        <v>1147</v>
      </c>
    </row>
    <row r="64" spans="1:11" ht="21.9" customHeight="1">
      <c r="A64" s="1136"/>
      <c r="B64" s="1130"/>
      <c r="C64" s="493" t="s">
        <v>3116</v>
      </c>
      <c r="D64" s="493" t="s">
        <v>3117</v>
      </c>
      <c r="E64" s="505">
        <v>3000</v>
      </c>
      <c r="F64" s="505">
        <f t="shared" si="0"/>
        <v>3</v>
      </c>
      <c r="G64" s="505">
        <v>499.69999999999982</v>
      </c>
      <c r="H64" s="505">
        <f t="shared" si="1"/>
        <v>0.49969999999999981</v>
      </c>
      <c r="I64" s="505">
        <v>499.7</v>
      </c>
      <c r="J64" s="505">
        <f t="shared" si="2"/>
        <v>0.49969999999999998</v>
      </c>
      <c r="K64" s="506">
        <f t="shared" si="3"/>
        <v>1.0000000000000004</v>
      </c>
    </row>
    <row r="65" spans="1:11" ht="21.9" customHeight="1">
      <c r="A65" s="1136"/>
      <c r="B65" s="1130"/>
      <c r="C65" s="493" t="s">
        <v>3158</v>
      </c>
      <c r="D65" s="493" t="s">
        <v>1497</v>
      </c>
      <c r="E65" s="505">
        <v>0</v>
      </c>
      <c r="F65" s="505">
        <f t="shared" si="0"/>
        <v>0</v>
      </c>
      <c r="G65" s="505">
        <v>1459251.46</v>
      </c>
      <c r="H65" s="505">
        <f t="shared" si="1"/>
        <v>1459.25146</v>
      </c>
      <c r="I65" s="505">
        <v>1459251.46</v>
      </c>
      <c r="J65" s="505">
        <f t="shared" si="2"/>
        <v>1459.25146</v>
      </c>
      <c r="K65" s="506">
        <f t="shared" si="3"/>
        <v>1</v>
      </c>
    </row>
    <row r="66" spans="1:11" ht="21.9" customHeight="1">
      <c r="A66" s="1137" t="s">
        <v>3159</v>
      </c>
      <c r="B66" s="1138"/>
      <c r="C66" s="1138"/>
      <c r="D66" s="1138"/>
      <c r="E66" s="507">
        <v>5250000</v>
      </c>
      <c r="F66" s="507">
        <f t="shared" si="0"/>
        <v>5250</v>
      </c>
      <c r="G66" s="507">
        <v>5943397.5899999999</v>
      </c>
      <c r="H66" s="507">
        <f t="shared" si="1"/>
        <v>5943.3975899999996</v>
      </c>
      <c r="I66" s="507">
        <v>5793603.4500000002</v>
      </c>
      <c r="J66" s="507">
        <f t="shared" si="2"/>
        <v>5793.6034500000005</v>
      </c>
      <c r="K66" s="508">
        <f t="shared" si="3"/>
        <v>0.97479654730620169</v>
      </c>
    </row>
    <row r="67" spans="1:11" ht="21.9" customHeight="1">
      <c r="A67" s="1145" t="s">
        <v>1340</v>
      </c>
      <c r="B67" s="1146"/>
      <c r="C67" s="1146"/>
      <c r="D67" s="1146"/>
      <c r="E67" s="1146"/>
      <c r="F67" s="1146"/>
      <c r="G67" s="1146"/>
      <c r="H67" s="1146"/>
      <c r="I67" s="1146"/>
      <c r="J67" s="1146"/>
      <c r="K67" s="1147"/>
    </row>
    <row r="68" spans="1:11" ht="21.9" customHeight="1">
      <c r="A68" s="1136" t="s">
        <v>3160</v>
      </c>
      <c r="B68" s="1130" t="s">
        <v>3161</v>
      </c>
      <c r="C68" s="493" t="s">
        <v>3145</v>
      </c>
      <c r="D68" s="493" t="s">
        <v>3146</v>
      </c>
      <c r="E68" s="505">
        <v>1000</v>
      </c>
      <c r="F68" s="505">
        <f t="shared" si="0"/>
        <v>1</v>
      </c>
      <c r="G68" s="505">
        <v>1000</v>
      </c>
      <c r="H68" s="505">
        <f t="shared" si="1"/>
        <v>1</v>
      </c>
      <c r="I68" s="505">
        <v>711</v>
      </c>
      <c r="J68" s="505">
        <f t="shared" si="2"/>
        <v>0.71099999999999997</v>
      </c>
      <c r="K68" s="506">
        <f t="shared" si="3"/>
        <v>0.71099999999999997</v>
      </c>
    </row>
    <row r="69" spans="1:11" ht="21.9" customHeight="1">
      <c r="A69" s="1136"/>
      <c r="B69" s="1130"/>
      <c r="C69" s="493" t="s">
        <v>3072</v>
      </c>
      <c r="D69" s="493" t="s">
        <v>3073</v>
      </c>
      <c r="E69" s="505">
        <v>9000</v>
      </c>
      <c r="F69" s="505">
        <f t="shared" si="0"/>
        <v>9</v>
      </c>
      <c r="G69" s="505">
        <v>9000</v>
      </c>
      <c r="H69" s="505">
        <f t="shared" si="1"/>
        <v>9</v>
      </c>
      <c r="I69" s="505">
        <v>0</v>
      </c>
      <c r="J69" s="505">
        <f t="shared" si="2"/>
        <v>0</v>
      </c>
      <c r="K69" s="506">
        <f t="shared" si="3"/>
        <v>0</v>
      </c>
    </row>
    <row r="70" spans="1:11" ht="21.9" customHeight="1">
      <c r="A70" s="1136"/>
      <c r="B70" s="1130"/>
      <c r="C70" s="493" t="s">
        <v>3162</v>
      </c>
      <c r="D70" s="493" t="s">
        <v>1486</v>
      </c>
      <c r="E70" s="505">
        <v>0</v>
      </c>
      <c r="F70" s="505">
        <f t="shared" si="0"/>
        <v>0</v>
      </c>
      <c r="G70" s="505">
        <v>3000000</v>
      </c>
      <c r="H70" s="505">
        <f t="shared" si="1"/>
        <v>3000</v>
      </c>
      <c r="I70" s="505">
        <v>3000000</v>
      </c>
      <c r="J70" s="505">
        <f t="shared" si="2"/>
        <v>3000</v>
      </c>
      <c r="K70" s="506">
        <f t="shared" si="3"/>
        <v>1</v>
      </c>
    </row>
    <row r="71" spans="1:11" ht="21.9" customHeight="1">
      <c r="A71" s="1136" t="s">
        <v>3163</v>
      </c>
      <c r="B71" s="1130" t="s">
        <v>3164</v>
      </c>
      <c r="C71" s="493" t="s">
        <v>3165</v>
      </c>
      <c r="D71" s="493" t="s">
        <v>3166</v>
      </c>
      <c r="E71" s="505">
        <v>0</v>
      </c>
      <c r="F71" s="505">
        <f t="shared" ref="F71:F134" si="4">E71/1000</f>
        <v>0</v>
      </c>
      <c r="G71" s="505">
        <v>6182</v>
      </c>
      <c r="H71" s="505">
        <f t="shared" ref="H71:H134" si="5">G71/1000</f>
        <v>6.1820000000000004</v>
      </c>
      <c r="I71" s="505">
        <v>6182</v>
      </c>
      <c r="J71" s="505">
        <f t="shared" ref="J71:J134" si="6">I71/1000</f>
        <v>6.1820000000000004</v>
      </c>
      <c r="K71" s="506">
        <f t="shared" ref="K71:K134" si="7">I71/G71</f>
        <v>1</v>
      </c>
    </row>
    <row r="72" spans="1:11" ht="21.9" customHeight="1">
      <c r="A72" s="1136"/>
      <c r="B72" s="1130"/>
      <c r="C72" s="493" t="s">
        <v>3072</v>
      </c>
      <c r="D72" s="493" t="s">
        <v>3073</v>
      </c>
      <c r="E72" s="505">
        <v>20000</v>
      </c>
      <c r="F72" s="505">
        <f t="shared" si="4"/>
        <v>20</v>
      </c>
      <c r="G72" s="505">
        <v>23432</v>
      </c>
      <c r="H72" s="505">
        <f t="shared" si="5"/>
        <v>23.431999999999999</v>
      </c>
      <c r="I72" s="505">
        <v>4987</v>
      </c>
      <c r="J72" s="505">
        <f t="shared" si="6"/>
        <v>4.9870000000000001</v>
      </c>
      <c r="K72" s="506">
        <f t="shared" si="7"/>
        <v>0.21282861044725163</v>
      </c>
    </row>
    <row r="73" spans="1:11" ht="21.9" customHeight="1">
      <c r="A73" s="1136"/>
      <c r="B73" s="1130"/>
      <c r="C73" s="493" t="s">
        <v>3074</v>
      </c>
      <c r="D73" s="493" t="s">
        <v>3075</v>
      </c>
      <c r="E73" s="505">
        <v>100000</v>
      </c>
      <c r="F73" s="505">
        <f t="shared" si="4"/>
        <v>100</v>
      </c>
      <c r="G73" s="505">
        <v>90386</v>
      </c>
      <c r="H73" s="505">
        <f t="shared" si="5"/>
        <v>90.385999999999996</v>
      </c>
      <c r="I73" s="505">
        <v>46082.3</v>
      </c>
      <c r="J73" s="505">
        <f t="shared" si="6"/>
        <v>46.082300000000004</v>
      </c>
      <c r="K73" s="506">
        <f t="shared" si="7"/>
        <v>0.50983891310601204</v>
      </c>
    </row>
    <row r="74" spans="1:11" ht="21.9" customHeight="1">
      <c r="A74" s="1136"/>
      <c r="B74" s="1130"/>
      <c r="C74" s="493" t="s">
        <v>3167</v>
      </c>
      <c r="D74" s="493" t="s">
        <v>1481</v>
      </c>
      <c r="E74" s="505">
        <v>135000</v>
      </c>
      <c r="F74" s="505">
        <f t="shared" si="4"/>
        <v>135</v>
      </c>
      <c r="G74" s="505">
        <v>135000</v>
      </c>
      <c r="H74" s="505">
        <f t="shared" si="5"/>
        <v>135</v>
      </c>
      <c r="I74" s="505">
        <v>0</v>
      </c>
      <c r="J74" s="505">
        <f t="shared" si="6"/>
        <v>0</v>
      </c>
      <c r="K74" s="506">
        <f t="shared" si="7"/>
        <v>0</v>
      </c>
    </row>
    <row r="75" spans="1:11" ht="21.9" customHeight="1">
      <c r="A75" s="1136"/>
      <c r="B75" s="1130"/>
      <c r="C75" s="493" t="s">
        <v>3076</v>
      </c>
      <c r="D75" s="493" t="s">
        <v>3077</v>
      </c>
      <c r="E75" s="505">
        <v>90000</v>
      </c>
      <c r="F75" s="505">
        <f t="shared" si="4"/>
        <v>90</v>
      </c>
      <c r="G75" s="505">
        <v>90000</v>
      </c>
      <c r="H75" s="505">
        <f t="shared" si="5"/>
        <v>90</v>
      </c>
      <c r="I75" s="505">
        <v>66414.7</v>
      </c>
      <c r="J75" s="505">
        <f t="shared" si="6"/>
        <v>66.414699999999996</v>
      </c>
      <c r="K75" s="506">
        <f t="shared" si="7"/>
        <v>0.73794111111111105</v>
      </c>
    </row>
    <row r="76" spans="1:11" ht="21.9" customHeight="1">
      <c r="A76" s="1136"/>
      <c r="B76" s="1130"/>
      <c r="C76" s="493" t="s">
        <v>3168</v>
      </c>
      <c r="D76" s="493" t="s">
        <v>1481</v>
      </c>
      <c r="E76" s="505">
        <v>180000</v>
      </c>
      <c r="F76" s="505">
        <f t="shared" si="4"/>
        <v>180</v>
      </c>
      <c r="G76" s="505">
        <v>180000</v>
      </c>
      <c r="H76" s="505">
        <f t="shared" si="5"/>
        <v>180</v>
      </c>
      <c r="I76" s="505">
        <v>0</v>
      </c>
      <c r="J76" s="505">
        <f t="shared" si="6"/>
        <v>0</v>
      </c>
      <c r="K76" s="506">
        <f t="shared" si="7"/>
        <v>0</v>
      </c>
    </row>
    <row r="77" spans="1:11" ht="21.9" customHeight="1">
      <c r="A77" s="1136"/>
      <c r="B77" s="1130"/>
      <c r="C77" s="493" t="s">
        <v>3169</v>
      </c>
      <c r="D77" s="493" t="s">
        <v>1482</v>
      </c>
      <c r="E77" s="505">
        <v>120000</v>
      </c>
      <c r="F77" s="505">
        <f t="shared" si="4"/>
        <v>120</v>
      </c>
      <c r="G77" s="505">
        <v>120000</v>
      </c>
      <c r="H77" s="505">
        <f t="shared" si="5"/>
        <v>120</v>
      </c>
      <c r="I77" s="505">
        <v>0</v>
      </c>
      <c r="J77" s="505">
        <f t="shared" si="6"/>
        <v>0</v>
      </c>
      <c r="K77" s="506">
        <f t="shared" si="7"/>
        <v>0</v>
      </c>
    </row>
    <row r="78" spans="1:11" ht="21.9" customHeight="1">
      <c r="A78" s="1136" t="s">
        <v>3170</v>
      </c>
      <c r="B78" s="1130" t="s">
        <v>3171</v>
      </c>
      <c r="C78" s="493" t="s">
        <v>3074</v>
      </c>
      <c r="D78" s="493" t="s">
        <v>3075</v>
      </c>
      <c r="E78" s="505">
        <v>3600000</v>
      </c>
      <c r="F78" s="505">
        <f t="shared" si="4"/>
        <v>3600</v>
      </c>
      <c r="G78" s="505">
        <v>3590034</v>
      </c>
      <c r="H78" s="505">
        <f t="shared" si="5"/>
        <v>3590.0340000000001</v>
      </c>
      <c r="I78" s="505">
        <v>0</v>
      </c>
      <c r="J78" s="505">
        <f t="shared" si="6"/>
        <v>0</v>
      </c>
      <c r="K78" s="506">
        <f t="shared" si="7"/>
        <v>0</v>
      </c>
    </row>
    <row r="79" spans="1:11" ht="21.9" customHeight="1">
      <c r="A79" s="1136"/>
      <c r="B79" s="1130"/>
      <c r="C79" s="493" t="s">
        <v>3076</v>
      </c>
      <c r="D79" s="493" t="s">
        <v>3077</v>
      </c>
      <c r="E79" s="505">
        <v>0</v>
      </c>
      <c r="F79" s="505">
        <f t="shared" si="4"/>
        <v>0</v>
      </c>
      <c r="G79" s="505">
        <v>9966</v>
      </c>
      <c r="H79" s="505">
        <f t="shared" si="5"/>
        <v>9.9659999999999993</v>
      </c>
      <c r="I79" s="505">
        <v>9966</v>
      </c>
      <c r="J79" s="505">
        <f t="shared" si="6"/>
        <v>9.9659999999999993</v>
      </c>
      <c r="K79" s="506">
        <f t="shared" si="7"/>
        <v>1</v>
      </c>
    </row>
    <row r="80" spans="1:11" ht="21.9" customHeight="1">
      <c r="A80" s="1136" t="s">
        <v>3070</v>
      </c>
      <c r="B80" s="1130" t="s">
        <v>3071</v>
      </c>
      <c r="C80" s="493" t="s">
        <v>3080</v>
      </c>
      <c r="D80" s="493" t="s">
        <v>3081</v>
      </c>
      <c r="E80" s="505">
        <v>150000</v>
      </c>
      <c r="F80" s="505">
        <f t="shared" si="4"/>
        <v>150</v>
      </c>
      <c r="G80" s="505">
        <v>150000</v>
      </c>
      <c r="H80" s="505">
        <f t="shared" si="5"/>
        <v>150</v>
      </c>
      <c r="I80" s="505">
        <v>150000</v>
      </c>
      <c r="J80" s="505">
        <f t="shared" si="6"/>
        <v>150</v>
      </c>
      <c r="K80" s="506">
        <f t="shared" si="7"/>
        <v>1</v>
      </c>
    </row>
    <row r="81" spans="1:11" ht="21.9" customHeight="1">
      <c r="A81" s="1136"/>
      <c r="B81" s="1130"/>
      <c r="C81" s="493" t="s">
        <v>3172</v>
      </c>
      <c r="D81" s="493" t="s">
        <v>3173</v>
      </c>
      <c r="E81" s="505">
        <v>3000000</v>
      </c>
      <c r="F81" s="505">
        <f t="shared" si="4"/>
        <v>3000</v>
      </c>
      <c r="G81" s="505">
        <v>3000000</v>
      </c>
      <c r="H81" s="505">
        <f t="shared" si="5"/>
        <v>3000</v>
      </c>
      <c r="I81" s="505">
        <v>3000000</v>
      </c>
      <c r="J81" s="505">
        <f t="shared" si="6"/>
        <v>3000</v>
      </c>
      <c r="K81" s="506">
        <f t="shared" si="7"/>
        <v>1</v>
      </c>
    </row>
    <row r="82" spans="1:11" ht="21.9" customHeight="1">
      <c r="A82" s="1136" t="s">
        <v>3174</v>
      </c>
      <c r="B82" s="1130" t="s">
        <v>3175</v>
      </c>
      <c r="C82" s="493" t="s">
        <v>3080</v>
      </c>
      <c r="D82" s="493" t="s">
        <v>3081</v>
      </c>
      <c r="E82" s="505">
        <v>1500000</v>
      </c>
      <c r="F82" s="505">
        <f t="shared" si="4"/>
        <v>1500</v>
      </c>
      <c r="G82" s="505">
        <v>1500000</v>
      </c>
      <c r="H82" s="505">
        <f t="shared" si="5"/>
        <v>1500</v>
      </c>
      <c r="I82" s="505">
        <v>1500000</v>
      </c>
      <c r="J82" s="505">
        <f t="shared" si="6"/>
        <v>1500</v>
      </c>
      <c r="K82" s="506">
        <f t="shared" si="7"/>
        <v>1</v>
      </c>
    </row>
    <row r="83" spans="1:11" ht="21.9" customHeight="1">
      <c r="A83" s="1136"/>
      <c r="B83" s="1130"/>
      <c r="C83" s="493" t="s">
        <v>3172</v>
      </c>
      <c r="D83" s="493" t="s">
        <v>3173</v>
      </c>
      <c r="E83" s="505">
        <v>12000000</v>
      </c>
      <c r="F83" s="505">
        <f t="shared" si="4"/>
        <v>12000</v>
      </c>
      <c r="G83" s="505">
        <v>12000000</v>
      </c>
      <c r="H83" s="505">
        <f t="shared" si="5"/>
        <v>12000</v>
      </c>
      <c r="I83" s="505">
        <v>11999334</v>
      </c>
      <c r="J83" s="505">
        <f t="shared" si="6"/>
        <v>11999.334000000001</v>
      </c>
      <c r="K83" s="506">
        <f t="shared" si="7"/>
        <v>0.99994450000000001</v>
      </c>
    </row>
    <row r="84" spans="1:11" ht="21.9" customHeight="1">
      <c r="A84" s="1136" t="s">
        <v>3176</v>
      </c>
      <c r="B84" s="1130" t="s">
        <v>3177</v>
      </c>
      <c r="C84" s="493" t="s">
        <v>3074</v>
      </c>
      <c r="D84" s="493" t="s">
        <v>3075</v>
      </c>
      <c r="E84" s="505">
        <v>0</v>
      </c>
      <c r="F84" s="505">
        <f t="shared" si="4"/>
        <v>0</v>
      </c>
      <c r="G84" s="505">
        <v>4679000</v>
      </c>
      <c r="H84" s="505">
        <f t="shared" si="5"/>
        <v>4679</v>
      </c>
      <c r="I84" s="505">
        <v>4679000</v>
      </c>
      <c r="J84" s="505">
        <f t="shared" si="6"/>
        <v>4679</v>
      </c>
      <c r="K84" s="506">
        <f t="shared" si="7"/>
        <v>1</v>
      </c>
    </row>
    <row r="85" spans="1:11" ht="21.9" customHeight="1">
      <c r="A85" s="1136"/>
      <c r="B85" s="1130"/>
      <c r="C85" s="493" t="s">
        <v>3088</v>
      </c>
      <c r="D85" s="493" t="s">
        <v>3089</v>
      </c>
      <c r="E85" s="505">
        <v>15000000</v>
      </c>
      <c r="F85" s="505">
        <f t="shared" si="4"/>
        <v>15000</v>
      </c>
      <c r="G85" s="505">
        <v>16000000</v>
      </c>
      <c r="H85" s="505">
        <f t="shared" si="5"/>
        <v>16000</v>
      </c>
      <c r="I85" s="505">
        <v>16000000</v>
      </c>
      <c r="J85" s="505">
        <f t="shared" si="6"/>
        <v>16000</v>
      </c>
      <c r="K85" s="506">
        <f t="shared" si="7"/>
        <v>1</v>
      </c>
    </row>
    <row r="86" spans="1:11" ht="21.9" customHeight="1">
      <c r="A86" s="1136" t="s">
        <v>3178</v>
      </c>
      <c r="B86" s="1130" t="s">
        <v>3179</v>
      </c>
      <c r="C86" s="493" t="s">
        <v>3074</v>
      </c>
      <c r="D86" s="493" t="s">
        <v>3075</v>
      </c>
      <c r="E86" s="505">
        <v>834000</v>
      </c>
      <c r="F86" s="505">
        <f t="shared" si="4"/>
        <v>834</v>
      </c>
      <c r="G86" s="505">
        <v>798465</v>
      </c>
      <c r="H86" s="505">
        <f t="shared" si="5"/>
        <v>798.46500000000003</v>
      </c>
      <c r="I86" s="505">
        <v>5112</v>
      </c>
      <c r="J86" s="505">
        <f t="shared" si="6"/>
        <v>5.1120000000000001</v>
      </c>
      <c r="K86" s="506">
        <f t="shared" si="7"/>
        <v>6.4022843831601887E-3</v>
      </c>
    </row>
    <row r="87" spans="1:11" ht="21.9" customHeight="1">
      <c r="A87" s="1136"/>
      <c r="B87" s="1130"/>
      <c r="C87" s="493" t="s">
        <v>3076</v>
      </c>
      <c r="D87" s="493" t="s">
        <v>3077</v>
      </c>
      <c r="E87" s="505">
        <v>0</v>
      </c>
      <c r="F87" s="505">
        <f t="shared" si="4"/>
        <v>0</v>
      </c>
      <c r="G87" s="505">
        <v>35535</v>
      </c>
      <c r="H87" s="505">
        <f t="shared" si="5"/>
        <v>35.534999999999997</v>
      </c>
      <c r="I87" s="505">
        <v>35486</v>
      </c>
      <c r="J87" s="505">
        <f t="shared" si="6"/>
        <v>35.485999999999997</v>
      </c>
      <c r="K87" s="506">
        <f t="shared" si="7"/>
        <v>0.99862107781060927</v>
      </c>
    </row>
    <row r="88" spans="1:11" ht="21.9" customHeight="1">
      <c r="A88" s="1137" t="s">
        <v>3180</v>
      </c>
      <c r="B88" s="1152"/>
      <c r="C88" s="1152"/>
      <c r="D88" s="1152"/>
      <c r="E88" s="507">
        <v>36739000</v>
      </c>
      <c r="F88" s="507">
        <f t="shared" si="4"/>
        <v>36739</v>
      </c>
      <c r="G88" s="507">
        <v>45418000</v>
      </c>
      <c r="H88" s="507">
        <f t="shared" si="5"/>
        <v>45418</v>
      </c>
      <c r="I88" s="507">
        <v>40503275</v>
      </c>
      <c r="J88" s="507">
        <f t="shared" si="6"/>
        <v>40503.275000000001</v>
      </c>
      <c r="K88" s="508">
        <f t="shared" si="7"/>
        <v>0.89178904839490947</v>
      </c>
    </row>
    <row r="89" spans="1:11" ht="21.9" customHeight="1">
      <c r="A89" s="1145" t="s">
        <v>1354</v>
      </c>
      <c r="B89" s="1146"/>
      <c r="C89" s="1146"/>
      <c r="D89" s="1146"/>
      <c r="E89" s="1146"/>
      <c r="F89" s="1146"/>
      <c r="G89" s="1146"/>
      <c r="H89" s="1146"/>
      <c r="I89" s="1146"/>
      <c r="J89" s="1146"/>
      <c r="K89" s="1147"/>
    </row>
    <row r="90" spans="1:11" ht="21.9" customHeight="1">
      <c r="A90" s="1136" t="s">
        <v>1156</v>
      </c>
      <c r="B90" s="1130" t="s">
        <v>3181</v>
      </c>
      <c r="C90" s="493" t="s">
        <v>3072</v>
      </c>
      <c r="D90" s="493" t="s">
        <v>3073</v>
      </c>
      <c r="E90" s="505">
        <v>0</v>
      </c>
      <c r="F90" s="505">
        <f t="shared" si="4"/>
        <v>0</v>
      </c>
      <c r="G90" s="505">
        <v>69853.84</v>
      </c>
      <c r="H90" s="505">
        <f t="shared" si="5"/>
        <v>69.853839999999991</v>
      </c>
      <c r="I90" s="505">
        <v>69853.84</v>
      </c>
      <c r="J90" s="505">
        <f t="shared" si="6"/>
        <v>69.853839999999991</v>
      </c>
      <c r="K90" s="506">
        <f t="shared" si="7"/>
        <v>1</v>
      </c>
    </row>
    <row r="91" spans="1:11" ht="21.9" customHeight="1">
      <c r="A91" s="1136"/>
      <c r="B91" s="1130"/>
      <c r="C91" s="493" t="s">
        <v>3156</v>
      </c>
      <c r="D91" s="493" t="s">
        <v>3157</v>
      </c>
      <c r="E91" s="505">
        <v>0</v>
      </c>
      <c r="F91" s="505">
        <f t="shared" si="4"/>
        <v>0</v>
      </c>
      <c r="G91" s="505">
        <v>501264</v>
      </c>
      <c r="H91" s="505">
        <f t="shared" si="5"/>
        <v>501.26400000000001</v>
      </c>
      <c r="I91" s="505">
        <v>501264</v>
      </c>
      <c r="J91" s="505">
        <f t="shared" si="6"/>
        <v>501.26400000000001</v>
      </c>
      <c r="K91" s="506">
        <f t="shared" si="7"/>
        <v>1</v>
      </c>
    </row>
    <row r="92" spans="1:11" ht="21.9" customHeight="1">
      <c r="A92" s="1136"/>
      <c r="B92" s="1130"/>
      <c r="C92" s="493" t="s">
        <v>3074</v>
      </c>
      <c r="D92" s="493" t="s">
        <v>3075</v>
      </c>
      <c r="E92" s="505">
        <v>1900000</v>
      </c>
      <c r="F92" s="505">
        <f t="shared" si="4"/>
        <v>1900</v>
      </c>
      <c r="G92" s="505">
        <v>2069748.2</v>
      </c>
      <c r="H92" s="505">
        <f t="shared" si="5"/>
        <v>2069.7482</v>
      </c>
      <c r="I92" s="505">
        <v>1467776</v>
      </c>
      <c r="J92" s="505">
        <f t="shared" si="6"/>
        <v>1467.7760000000001</v>
      </c>
      <c r="K92" s="506">
        <f t="shared" si="7"/>
        <v>0.70915679501496853</v>
      </c>
    </row>
    <row r="93" spans="1:11" ht="21.9" customHeight="1">
      <c r="A93" s="1136"/>
      <c r="B93" s="1130"/>
      <c r="C93" s="493" t="s">
        <v>3076</v>
      </c>
      <c r="D93" s="493" t="s">
        <v>3077</v>
      </c>
      <c r="E93" s="505">
        <v>0</v>
      </c>
      <c r="F93" s="505">
        <f t="shared" si="4"/>
        <v>0</v>
      </c>
      <c r="G93" s="505">
        <v>198283.96</v>
      </c>
      <c r="H93" s="505">
        <f t="shared" si="5"/>
        <v>198.28395999999998</v>
      </c>
      <c r="I93" s="505">
        <v>198283.96</v>
      </c>
      <c r="J93" s="505">
        <f t="shared" si="6"/>
        <v>198.28395999999998</v>
      </c>
      <c r="K93" s="506">
        <f t="shared" si="7"/>
        <v>1</v>
      </c>
    </row>
    <row r="94" spans="1:11" ht="21.9" customHeight="1">
      <c r="A94" s="1136" t="s">
        <v>1158</v>
      </c>
      <c r="B94" s="1130" t="s">
        <v>3182</v>
      </c>
      <c r="C94" s="493" t="s">
        <v>3145</v>
      </c>
      <c r="D94" s="493" t="s">
        <v>3146</v>
      </c>
      <c r="E94" s="505">
        <v>700000</v>
      </c>
      <c r="F94" s="505">
        <f t="shared" si="4"/>
        <v>700</v>
      </c>
      <c r="G94" s="505">
        <v>1244550</v>
      </c>
      <c r="H94" s="505">
        <f t="shared" si="5"/>
        <v>1244.55</v>
      </c>
      <c r="I94" s="505">
        <v>448645.4</v>
      </c>
      <c r="J94" s="505">
        <f t="shared" si="6"/>
        <v>448.6454</v>
      </c>
      <c r="K94" s="506">
        <f t="shared" si="7"/>
        <v>0.36048804788879518</v>
      </c>
    </row>
    <row r="95" spans="1:11" ht="21.9" customHeight="1">
      <c r="A95" s="1150"/>
      <c r="B95" s="1151"/>
      <c r="C95" s="493" t="s">
        <v>3165</v>
      </c>
      <c r="D95" s="493" t="s">
        <v>3166</v>
      </c>
      <c r="E95" s="505">
        <v>0</v>
      </c>
      <c r="F95" s="505">
        <f t="shared" si="4"/>
        <v>0</v>
      </c>
      <c r="G95" s="505">
        <v>35312.520000000004</v>
      </c>
      <c r="H95" s="505">
        <f t="shared" si="5"/>
        <v>35.312520000000006</v>
      </c>
      <c r="I95" s="505">
        <v>35312.520000000004</v>
      </c>
      <c r="J95" s="505">
        <f t="shared" si="6"/>
        <v>35.312520000000006</v>
      </c>
      <c r="K95" s="506">
        <f t="shared" si="7"/>
        <v>1</v>
      </c>
    </row>
    <row r="96" spans="1:11" ht="21.9" customHeight="1">
      <c r="A96" s="1150"/>
      <c r="B96" s="1151"/>
      <c r="C96" s="493" t="s">
        <v>3072</v>
      </c>
      <c r="D96" s="493" t="s">
        <v>3073</v>
      </c>
      <c r="E96" s="505">
        <v>800000</v>
      </c>
      <c r="F96" s="505">
        <f t="shared" si="4"/>
        <v>800</v>
      </c>
      <c r="G96" s="505">
        <v>1600131.68</v>
      </c>
      <c r="H96" s="505">
        <f t="shared" si="5"/>
        <v>1600.13168</v>
      </c>
      <c r="I96" s="505">
        <v>1562589.78</v>
      </c>
      <c r="J96" s="505">
        <f t="shared" si="6"/>
        <v>1562.58978</v>
      </c>
      <c r="K96" s="506">
        <f t="shared" si="7"/>
        <v>0.97653824340256801</v>
      </c>
    </row>
    <row r="97" spans="1:11" ht="21.9" customHeight="1">
      <c r="A97" s="1150"/>
      <c r="B97" s="1151"/>
      <c r="C97" s="493" t="s">
        <v>3147</v>
      </c>
      <c r="D97" s="493" t="s">
        <v>1418</v>
      </c>
      <c r="E97" s="505">
        <v>0</v>
      </c>
      <c r="F97" s="505">
        <f t="shared" si="4"/>
        <v>0</v>
      </c>
      <c r="G97" s="505">
        <v>0</v>
      </c>
      <c r="H97" s="505">
        <f t="shared" si="5"/>
        <v>0</v>
      </c>
      <c r="I97" s="505">
        <v>2969.35</v>
      </c>
      <c r="J97" s="505">
        <f t="shared" si="6"/>
        <v>2.9693499999999999</v>
      </c>
      <c r="K97" s="510" t="s">
        <v>1147</v>
      </c>
    </row>
    <row r="98" spans="1:11" ht="21.9" customHeight="1">
      <c r="A98" s="1150"/>
      <c r="B98" s="1151"/>
      <c r="C98" s="493" t="s">
        <v>3154</v>
      </c>
      <c r="D98" s="493" t="s">
        <v>3155</v>
      </c>
      <c r="E98" s="505">
        <v>0</v>
      </c>
      <c r="F98" s="505">
        <f t="shared" si="4"/>
        <v>0</v>
      </c>
      <c r="G98" s="505">
        <v>5960</v>
      </c>
      <c r="H98" s="505">
        <f t="shared" si="5"/>
        <v>5.96</v>
      </c>
      <c r="I98" s="505">
        <v>5960</v>
      </c>
      <c r="J98" s="505">
        <f t="shared" si="6"/>
        <v>5.96</v>
      </c>
      <c r="K98" s="506">
        <f t="shared" si="7"/>
        <v>1</v>
      </c>
    </row>
    <row r="99" spans="1:11" ht="21.9" customHeight="1">
      <c r="A99" s="1150"/>
      <c r="B99" s="1151"/>
      <c r="C99" s="493" t="s">
        <v>3156</v>
      </c>
      <c r="D99" s="493" t="s">
        <v>3157</v>
      </c>
      <c r="E99" s="505">
        <v>0</v>
      </c>
      <c r="F99" s="505">
        <f t="shared" si="4"/>
        <v>0</v>
      </c>
      <c r="G99" s="505">
        <v>2640</v>
      </c>
      <c r="H99" s="505">
        <f t="shared" si="5"/>
        <v>2.64</v>
      </c>
      <c r="I99" s="505">
        <v>2640</v>
      </c>
      <c r="J99" s="505">
        <f t="shared" si="6"/>
        <v>2.64</v>
      </c>
      <c r="K99" s="506">
        <f t="shared" si="7"/>
        <v>1</v>
      </c>
    </row>
    <row r="100" spans="1:11" ht="21.9" customHeight="1">
      <c r="A100" s="1150"/>
      <c r="B100" s="1151"/>
      <c r="C100" s="493" t="s">
        <v>3092</v>
      </c>
      <c r="D100" s="493" t="s">
        <v>3093</v>
      </c>
      <c r="E100" s="505">
        <v>0</v>
      </c>
      <c r="F100" s="505">
        <f t="shared" si="4"/>
        <v>0</v>
      </c>
      <c r="G100" s="505">
        <v>7680</v>
      </c>
      <c r="H100" s="505">
        <f t="shared" si="5"/>
        <v>7.68</v>
      </c>
      <c r="I100" s="505">
        <v>7680</v>
      </c>
      <c r="J100" s="505">
        <f t="shared" si="6"/>
        <v>7.68</v>
      </c>
      <c r="K100" s="506">
        <f t="shared" si="7"/>
        <v>1</v>
      </c>
    </row>
    <row r="101" spans="1:11" ht="21.9" customHeight="1">
      <c r="A101" s="1150"/>
      <c r="B101" s="1151"/>
      <c r="C101" s="493" t="s">
        <v>3074</v>
      </c>
      <c r="D101" s="493" t="s">
        <v>3075</v>
      </c>
      <c r="E101" s="505">
        <v>3380000</v>
      </c>
      <c r="F101" s="505">
        <f t="shared" si="4"/>
        <v>3380</v>
      </c>
      <c r="G101" s="505">
        <v>14458487.789999999</v>
      </c>
      <c r="H101" s="505">
        <f t="shared" si="5"/>
        <v>14458.487789999999</v>
      </c>
      <c r="I101" s="505">
        <v>13240048.449999999</v>
      </c>
      <c r="J101" s="505">
        <f t="shared" si="6"/>
        <v>13240.048449999998</v>
      </c>
      <c r="K101" s="506">
        <f t="shared" si="7"/>
        <v>0.91572843870693621</v>
      </c>
    </row>
    <row r="102" spans="1:11" ht="21.9" customHeight="1">
      <c r="A102" s="1150"/>
      <c r="B102" s="1151"/>
      <c r="C102" s="493" t="s">
        <v>3137</v>
      </c>
      <c r="D102" s="493" t="s">
        <v>3138</v>
      </c>
      <c r="E102" s="505">
        <v>800000</v>
      </c>
      <c r="F102" s="505">
        <f t="shared" si="4"/>
        <v>800</v>
      </c>
      <c r="G102" s="505">
        <v>950000</v>
      </c>
      <c r="H102" s="505">
        <f t="shared" si="5"/>
        <v>950</v>
      </c>
      <c r="I102" s="505">
        <v>879738.55</v>
      </c>
      <c r="J102" s="505">
        <f t="shared" si="6"/>
        <v>879.73855000000003</v>
      </c>
      <c r="K102" s="506">
        <f t="shared" si="7"/>
        <v>0.92604057894736846</v>
      </c>
    </row>
    <row r="103" spans="1:11" ht="21.9" customHeight="1">
      <c r="A103" s="1150"/>
      <c r="B103" s="1151"/>
      <c r="C103" s="493" t="s">
        <v>3076</v>
      </c>
      <c r="D103" s="493" t="s">
        <v>3077</v>
      </c>
      <c r="E103" s="505">
        <v>0</v>
      </c>
      <c r="F103" s="505">
        <f t="shared" si="4"/>
        <v>0</v>
      </c>
      <c r="G103" s="505">
        <v>203842.21000000002</v>
      </c>
      <c r="H103" s="505">
        <f t="shared" si="5"/>
        <v>203.84221000000002</v>
      </c>
      <c r="I103" s="505">
        <v>203842.21</v>
      </c>
      <c r="J103" s="505">
        <f t="shared" si="6"/>
        <v>203.84220999999999</v>
      </c>
      <c r="K103" s="506">
        <f t="shared" si="7"/>
        <v>0.99999999999999989</v>
      </c>
    </row>
    <row r="104" spans="1:11" ht="21.9" customHeight="1">
      <c r="A104" s="1150"/>
      <c r="B104" s="1151"/>
      <c r="C104" s="493" t="s">
        <v>3139</v>
      </c>
      <c r="D104" s="493" t="s">
        <v>3140</v>
      </c>
      <c r="E104" s="505">
        <v>0</v>
      </c>
      <c r="F104" s="505">
        <f t="shared" si="4"/>
        <v>0</v>
      </c>
      <c r="G104" s="505">
        <v>7580</v>
      </c>
      <c r="H104" s="505">
        <f t="shared" si="5"/>
        <v>7.58</v>
      </c>
      <c r="I104" s="505">
        <v>7580</v>
      </c>
      <c r="J104" s="505">
        <f t="shared" si="6"/>
        <v>7.58</v>
      </c>
      <c r="K104" s="506">
        <f t="shared" si="7"/>
        <v>1</v>
      </c>
    </row>
    <row r="105" spans="1:11" ht="21.9" customHeight="1">
      <c r="A105" s="1150"/>
      <c r="B105" s="1151"/>
      <c r="C105" s="493" t="s">
        <v>3183</v>
      </c>
      <c r="D105" s="493" t="s">
        <v>3184</v>
      </c>
      <c r="E105" s="505">
        <v>2100000</v>
      </c>
      <c r="F105" s="505">
        <f t="shared" si="4"/>
        <v>2100</v>
      </c>
      <c r="G105" s="505">
        <v>300000</v>
      </c>
      <c r="H105" s="505">
        <f t="shared" si="5"/>
        <v>300</v>
      </c>
      <c r="I105" s="505">
        <v>300000</v>
      </c>
      <c r="J105" s="505">
        <f t="shared" si="6"/>
        <v>300</v>
      </c>
      <c r="K105" s="506">
        <f t="shared" si="7"/>
        <v>1</v>
      </c>
    </row>
    <row r="106" spans="1:11" ht="21.9" customHeight="1">
      <c r="A106" s="1150"/>
      <c r="B106" s="1151"/>
      <c r="C106" s="493" t="s">
        <v>3185</v>
      </c>
      <c r="D106" s="493" t="s">
        <v>3186</v>
      </c>
      <c r="E106" s="505">
        <v>0</v>
      </c>
      <c r="F106" s="505">
        <f t="shared" si="4"/>
        <v>0</v>
      </c>
      <c r="G106" s="505">
        <v>170000</v>
      </c>
      <c r="H106" s="505">
        <f t="shared" si="5"/>
        <v>170</v>
      </c>
      <c r="I106" s="505">
        <v>170000</v>
      </c>
      <c r="J106" s="505">
        <f t="shared" si="6"/>
        <v>170</v>
      </c>
      <c r="K106" s="506">
        <f t="shared" si="7"/>
        <v>1</v>
      </c>
    </row>
    <row r="107" spans="1:11" ht="21.9" customHeight="1">
      <c r="A107" s="1150"/>
      <c r="B107" s="1151"/>
      <c r="C107" s="493" t="s">
        <v>3124</v>
      </c>
      <c r="D107" s="493" t="s">
        <v>3125</v>
      </c>
      <c r="E107" s="505">
        <v>0</v>
      </c>
      <c r="F107" s="505">
        <f t="shared" si="4"/>
        <v>0</v>
      </c>
      <c r="G107" s="505">
        <v>350000</v>
      </c>
      <c r="H107" s="505">
        <f t="shared" si="5"/>
        <v>350</v>
      </c>
      <c r="I107" s="505">
        <v>350000</v>
      </c>
      <c r="J107" s="505">
        <f t="shared" si="6"/>
        <v>350</v>
      </c>
      <c r="K107" s="506">
        <f t="shared" si="7"/>
        <v>1</v>
      </c>
    </row>
    <row r="108" spans="1:11" ht="21.9" customHeight="1">
      <c r="A108" s="1150"/>
      <c r="B108" s="1151"/>
      <c r="C108" s="493" t="s">
        <v>3080</v>
      </c>
      <c r="D108" s="493" t="s">
        <v>3081</v>
      </c>
      <c r="E108" s="505">
        <v>0</v>
      </c>
      <c r="F108" s="505">
        <f t="shared" si="4"/>
        <v>0</v>
      </c>
      <c r="G108" s="505">
        <v>50000</v>
      </c>
      <c r="H108" s="505">
        <f t="shared" si="5"/>
        <v>50</v>
      </c>
      <c r="I108" s="505">
        <v>50000</v>
      </c>
      <c r="J108" s="505">
        <f t="shared" si="6"/>
        <v>50</v>
      </c>
      <c r="K108" s="506">
        <f t="shared" si="7"/>
        <v>1</v>
      </c>
    </row>
    <row r="109" spans="1:11" ht="21.9" customHeight="1">
      <c r="A109" s="1150"/>
      <c r="B109" s="1151"/>
      <c r="C109" s="493" t="s">
        <v>3082</v>
      </c>
      <c r="D109" s="493" t="s">
        <v>3083</v>
      </c>
      <c r="E109" s="505">
        <v>0</v>
      </c>
      <c r="F109" s="505">
        <f t="shared" si="4"/>
        <v>0</v>
      </c>
      <c r="G109" s="505">
        <v>980000</v>
      </c>
      <c r="H109" s="505">
        <f t="shared" si="5"/>
        <v>980</v>
      </c>
      <c r="I109" s="505">
        <v>955000</v>
      </c>
      <c r="J109" s="505">
        <f t="shared" si="6"/>
        <v>955</v>
      </c>
      <c r="K109" s="506">
        <f t="shared" si="7"/>
        <v>0.97448979591836737</v>
      </c>
    </row>
    <row r="110" spans="1:11" ht="21.9" customHeight="1">
      <c r="A110" s="1150"/>
      <c r="B110" s="1151"/>
      <c r="C110" s="493" t="s">
        <v>3187</v>
      </c>
      <c r="D110" s="493" t="s">
        <v>3188</v>
      </c>
      <c r="E110" s="505">
        <v>0</v>
      </c>
      <c r="F110" s="505">
        <f t="shared" si="4"/>
        <v>0</v>
      </c>
      <c r="G110" s="505">
        <v>50000</v>
      </c>
      <c r="H110" s="505">
        <f t="shared" si="5"/>
        <v>50</v>
      </c>
      <c r="I110" s="505">
        <v>50000</v>
      </c>
      <c r="J110" s="505">
        <f t="shared" si="6"/>
        <v>50</v>
      </c>
      <c r="K110" s="506">
        <f t="shared" si="7"/>
        <v>1</v>
      </c>
    </row>
    <row r="111" spans="1:11" ht="21.9" customHeight="1">
      <c r="A111" s="1150"/>
      <c r="B111" s="1151"/>
      <c r="C111" s="493" t="s">
        <v>3189</v>
      </c>
      <c r="D111" s="493" t="s">
        <v>3190</v>
      </c>
      <c r="E111" s="505">
        <v>0</v>
      </c>
      <c r="F111" s="505">
        <f t="shared" si="4"/>
        <v>0</v>
      </c>
      <c r="G111" s="505">
        <v>3403715.8</v>
      </c>
      <c r="H111" s="505">
        <f t="shared" si="5"/>
        <v>3403.7157999999999</v>
      </c>
      <c r="I111" s="505">
        <v>0</v>
      </c>
      <c r="J111" s="505">
        <f t="shared" si="6"/>
        <v>0</v>
      </c>
      <c r="K111" s="506">
        <f t="shared" si="7"/>
        <v>0</v>
      </c>
    </row>
    <row r="112" spans="1:11" ht="21.9" customHeight="1">
      <c r="A112" s="1150"/>
      <c r="B112" s="1151"/>
      <c r="C112" s="493" t="s">
        <v>3168</v>
      </c>
      <c r="D112" s="493" t="s">
        <v>1481</v>
      </c>
      <c r="E112" s="505">
        <v>0</v>
      </c>
      <c r="F112" s="505">
        <f t="shared" si="4"/>
        <v>0</v>
      </c>
      <c r="G112" s="505">
        <v>145743.01999999999</v>
      </c>
      <c r="H112" s="505">
        <f t="shared" si="5"/>
        <v>145.74302</v>
      </c>
      <c r="I112" s="505">
        <v>145743.01999999999</v>
      </c>
      <c r="J112" s="505">
        <f t="shared" si="6"/>
        <v>145.74302</v>
      </c>
      <c r="K112" s="506">
        <f t="shared" si="7"/>
        <v>1</v>
      </c>
    </row>
    <row r="113" spans="1:11" ht="21.9" customHeight="1">
      <c r="A113" s="1150"/>
      <c r="B113" s="1151"/>
      <c r="C113" s="493" t="s">
        <v>3191</v>
      </c>
      <c r="D113" s="493" t="s">
        <v>3192</v>
      </c>
      <c r="E113" s="505">
        <v>0</v>
      </c>
      <c r="F113" s="505">
        <f t="shared" si="4"/>
        <v>0</v>
      </c>
      <c r="G113" s="505">
        <v>344400</v>
      </c>
      <c r="H113" s="505">
        <f t="shared" si="5"/>
        <v>344.4</v>
      </c>
      <c r="I113" s="505">
        <v>344400</v>
      </c>
      <c r="J113" s="505">
        <f t="shared" si="6"/>
        <v>344.4</v>
      </c>
      <c r="K113" s="506">
        <f t="shared" si="7"/>
        <v>1</v>
      </c>
    </row>
    <row r="114" spans="1:11" ht="21.9" customHeight="1">
      <c r="A114" s="1150"/>
      <c r="B114" s="1151"/>
      <c r="C114" s="493" t="s">
        <v>3193</v>
      </c>
      <c r="D114" s="493" t="s">
        <v>1483</v>
      </c>
      <c r="E114" s="505">
        <v>0</v>
      </c>
      <c r="F114" s="505">
        <f t="shared" si="4"/>
        <v>0</v>
      </c>
      <c r="G114" s="505">
        <v>103752</v>
      </c>
      <c r="H114" s="505">
        <f t="shared" si="5"/>
        <v>103.752</v>
      </c>
      <c r="I114" s="505">
        <v>103752</v>
      </c>
      <c r="J114" s="505">
        <f t="shared" si="6"/>
        <v>103.752</v>
      </c>
      <c r="K114" s="506">
        <f t="shared" si="7"/>
        <v>1</v>
      </c>
    </row>
    <row r="115" spans="1:11" ht="21.9" customHeight="1">
      <c r="A115" s="1150"/>
      <c r="B115" s="1151"/>
      <c r="C115" s="493" t="s">
        <v>3194</v>
      </c>
      <c r="D115" s="493" t="s">
        <v>3195</v>
      </c>
      <c r="E115" s="505">
        <v>0</v>
      </c>
      <c r="F115" s="505">
        <f t="shared" si="4"/>
        <v>0</v>
      </c>
      <c r="G115" s="505">
        <v>200000</v>
      </c>
      <c r="H115" s="505">
        <f t="shared" si="5"/>
        <v>200</v>
      </c>
      <c r="I115" s="505">
        <v>200000</v>
      </c>
      <c r="J115" s="505">
        <f t="shared" si="6"/>
        <v>200</v>
      </c>
      <c r="K115" s="506">
        <f t="shared" si="7"/>
        <v>1</v>
      </c>
    </row>
    <row r="116" spans="1:11" ht="21.9" customHeight="1">
      <c r="A116" s="1150"/>
      <c r="B116" s="1151"/>
      <c r="C116" s="493" t="s">
        <v>3196</v>
      </c>
      <c r="D116" s="493" t="s">
        <v>3197</v>
      </c>
      <c r="E116" s="505">
        <v>0</v>
      </c>
      <c r="F116" s="505">
        <f t="shared" si="4"/>
        <v>0</v>
      </c>
      <c r="G116" s="505">
        <v>50000</v>
      </c>
      <c r="H116" s="505">
        <f t="shared" si="5"/>
        <v>50</v>
      </c>
      <c r="I116" s="505">
        <v>50000</v>
      </c>
      <c r="J116" s="505">
        <f t="shared" si="6"/>
        <v>50</v>
      </c>
      <c r="K116" s="506">
        <f t="shared" si="7"/>
        <v>1</v>
      </c>
    </row>
    <row r="117" spans="1:11" ht="21.9" customHeight="1">
      <c r="A117" s="1150"/>
      <c r="B117" s="1151"/>
      <c r="C117" s="493" t="s">
        <v>3198</v>
      </c>
      <c r="D117" s="493" t="s">
        <v>3199</v>
      </c>
      <c r="E117" s="505">
        <v>0</v>
      </c>
      <c r="F117" s="505">
        <f t="shared" si="4"/>
        <v>0</v>
      </c>
      <c r="G117" s="505">
        <v>50000</v>
      </c>
      <c r="H117" s="505">
        <f t="shared" si="5"/>
        <v>50</v>
      </c>
      <c r="I117" s="505">
        <v>50000</v>
      </c>
      <c r="J117" s="505">
        <f t="shared" si="6"/>
        <v>50</v>
      </c>
      <c r="K117" s="506">
        <f t="shared" si="7"/>
        <v>1</v>
      </c>
    </row>
    <row r="118" spans="1:11" ht="21.9" customHeight="1">
      <c r="A118" s="1150"/>
      <c r="B118" s="1151"/>
      <c r="C118" s="493" t="s">
        <v>3200</v>
      </c>
      <c r="D118" s="493" t="s">
        <v>3201</v>
      </c>
      <c r="E118" s="505">
        <v>400000</v>
      </c>
      <c r="F118" s="505">
        <f t="shared" si="4"/>
        <v>400</v>
      </c>
      <c r="G118" s="505">
        <v>0</v>
      </c>
      <c r="H118" s="505">
        <f t="shared" si="5"/>
        <v>0</v>
      </c>
      <c r="I118" s="505">
        <v>0</v>
      </c>
      <c r="J118" s="505">
        <f t="shared" si="6"/>
        <v>0</v>
      </c>
      <c r="K118" s="510" t="s">
        <v>1147</v>
      </c>
    </row>
    <row r="119" spans="1:11" ht="21.9" customHeight="1">
      <c r="A119" s="1150"/>
      <c r="B119" s="1151"/>
      <c r="C119" s="493" t="s">
        <v>3088</v>
      </c>
      <c r="D119" s="493" t="s">
        <v>3089</v>
      </c>
      <c r="E119" s="505">
        <v>0</v>
      </c>
      <c r="F119" s="505">
        <f t="shared" si="4"/>
        <v>0</v>
      </c>
      <c r="G119" s="505">
        <v>150000</v>
      </c>
      <c r="H119" s="505">
        <f t="shared" si="5"/>
        <v>150</v>
      </c>
      <c r="I119" s="505">
        <v>150000</v>
      </c>
      <c r="J119" s="505">
        <f t="shared" si="6"/>
        <v>150</v>
      </c>
      <c r="K119" s="506">
        <f t="shared" si="7"/>
        <v>1</v>
      </c>
    </row>
    <row r="120" spans="1:11" ht="21.9" customHeight="1">
      <c r="A120" s="1150"/>
      <c r="B120" s="1151"/>
      <c r="C120" s="493" t="s">
        <v>3202</v>
      </c>
      <c r="D120" s="493" t="s">
        <v>3203</v>
      </c>
      <c r="E120" s="505">
        <v>0</v>
      </c>
      <c r="F120" s="505">
        <f t="shared" si="4"/>
        <v>0</v>
      </c>
      <c r="G120" s="505">
        <v>17104.98000000001</v>
      </c>
      <c r="H120" s="505">
        <f t="shared" si="5"/>
        <v>17.104980000000012</v>
      </c>
      <c r="I120" s="505">
        <v>0</v>
      </c>
      <c r="J120" s="505">
        <f t="shared" si="6"/>
        <v>0</v>
      </c>
      <c r="K120" s="506">
        <f t="shared" si="7"/>
        <v>0</v>
      </c>
    </row>
    <row r="121" spans="1:11" ht="21.9" customHeight="1">
      <c r="A121" s="509" t="s">
        <v>3204</v>
      </c>
      <c r="B121" s="493" t="s">
        <v>3205</v>
      </c>
      <c r="C121" s="493" t="s">
        <v>3096</v>
      </c>
      <c r="D121" s="493" t="s">
        <v>3097</v>
      </c>
      <c r="E121" s="505">
        <v>0</v>
      </c>
      <c r="F121" s="505">
        <f t="shared" si="4"/>
        <v>0</v>
      </c>
      <c r="G121" s="505">
        <v>104720</v>
      </c>
      <c r="H121" s="505">
        <f t="shared" si="5"/>
        <v>104.72</v>
      </c>
      <c r="I121" s="505">
        <v>104720</v>
      </c>
      <c r="J121" s="505">
        <f t="shared" si="6"/>
        <v>104.72</v>
      </c>
      <c r="K121" s="506">
        <f t="shared" si="7"/>
        <v>1</v>
      </c>
    </row>
    <row r="122" spans="1:11" ht="21.9" customHeight="1">
      <c r="A122" s="509" t="s">
        <v>3206</v>
      </c>
      <c r="B122" s="493" t="s">
        <v>3207</v>
      </c>
      <c r="C122" s="493" t="s">
        <v>3096</v>
      </c>
      <c r="D122" s="493" t="s">
        <v>3097</v>
      </c>
      <c r="E122" s="505">
        <v>0</v>
      </c>
      <c r="F122" s="505">
        <f t="shared" si="4"/>
        <v>0</v>
      </c>
      <c r="G122" s="505">
        <v>20000</v>
      </c>
      <c r="H122" s="505">
        <f t="shared" si="5"/>
        <v>20</v>
      </c>
      <c r="I122" s="505">
        <v>20000</v>
      </c>
      <c r="J122" s="505">
        <f t="shared" si="6"/>
        <v>20</v>
      </c>
      <c r="K122" s="506">
        <f t="shared" si="7"/>
        <v>1</v>
      </c>
    </row>
    <row r="123" spans="1:11" ht="21.9" customHeight="1">
      <c r="A123" s="1136" t="s">
        <v>3208</v>
      </c>
      <c r="B123" s="1130" t="s">
        <v>3209</v>
      </c>
      <c r="C123" s="493" t="s">
        <v>3185</v>
      </c>
      <c r="D123" s="493" t="s">
        <v>3186</v>
      </c>
      <c r="E123" s="505">
        <v>0</v>
      </c>
      <c r="F123" s="505">
        <f t="shared" si="4"/>
        <v>0</v>
      </c>
      <c r="G123" s="505">
        <v>30000</v>
      </c>
      <c r="H123" s="505">
        <f t="shared" si="5"/>
        <v>30</v>
      </c>
      <c r="I123" s="505">
        <v>30000</v>
      </c>
      <c r="J123" s="505">
        <f t="shared" si="6"/>
        <v>30</v>
      </c>
      <c r="K123" s="506">
        <f t="shared" si="7"/>
        <v>1</v>
      </c>
    </row>
    <row r="124" spans="1:11" ht="21.9" customHeight="1">
      <c r="A124" s="1136"/>
      <c r="B124" s="1130"/>
      <c r="C124" s="493" t="s">
        <v>3124</v>
      </c>
      <c r="D124" s="493" t="s">
        <v>3125</v>
      </c>
      <c r="E124" s="505">
        <v>0</v>
      </c>
      <c r="F124" s="505">
        <f t="shared" si="4"/>
        <v>0</v>
      </c>
      <c r="G124" s="505">
        <v>242000</v>
      </c>
      <c r="H124" s="505">
        <f t="shared" si="5"/>
        <v>242</v>
      </c>
      <c r="I124" s="505">
        <v>242000</v>
      </c>
      <c r="J124" s="505">
        <f t="shared" si="6"/>
        <v>242</v>
      </c>
      <c r="K124" s="506">
        <f t="shared" si="7"/>
        <v>1</v>
      </c>
    </row>
    <row r="125" spans="1:11" ht="21.9" customHeight="1">
      <c r="A125" s="1136"/>
      <c r="B125" s="1130"/>
      <c r="C125" s="493" t="s">
        <v>3078</v>
      </c>
      <c r="D125" s="493" t="s">
        <v>3079</v>
      </c>
      <c r="E125" s="505">
        <v>700000</v>
      </c>
      <c r="F125" s="505">
        <f t="shared" si="4"/>
        <v>700</v>
      </c>
      <c r="G125" s="505">
        <v>700000</v>
      </c>
      <c r="H125" s="505">
        <f t="shared" si="5"/>
        <v>700</v>
      </c>
      <c r="I125" s="505">
        <v>700000</v>
      </c>
      <c r="J125" s="505">
        <f t="shared" si="6"/>
        <v>700</v>
      </c>
      <c r="K125" s="506">
        <f t="shared" si="7"/>
        <v>1</v>
      </c>
    </row>
    <row r="126" spans="1:11" ht="21.9" customHeight="1">
      <c r="A126" s="1136"/>
      <c r="B126" s="1130"/>
      <c r="C126" s="493" t="s">
        <v>3082</v>
      </c>
      <c r="D126" s="493" t="s">
        <v>3083</v>
      </c>
      <c r="E126" s="505">
        <v>4200000</v>
      </c>
      <c r="F126" s="505">
        <f t="shared" si="4"/>
        <v>4200</v>
      </c>
      <c r="G126" s="505">
        <v>5245000</v>
      </c>
      <c r="H126" s="505">
        <f t="shared" si="5"/>
        <v>5245</v>
      </c>
      <c r="I126" s="505">
        <v>5245000</v>
      </c>
      <c r="J126" s="505">
        <f t="shared" si="6"/>
        <v>5245</v>
      </c>
      <c r="K126" s="506">
        <f t="shared" si="7"/>
        <v>1</v>
      </c>
    </row>
    <row r="127" spans="1:11" ht="21.9" customHeight="1">
      <c r="A127" s="1136"/>
      <c r="B127" s="1130"/>
      <c r="C127" s="493" t="s">
        <v>3096</v>
      </c>
      <c r="D127" s="493" t="s">
        <v>3097</v>
      </c>
      <c r="E127" s="505">
        <v>4900000</v>
      </c>
      <c r="F127" s="505">
        <f t="shared" si="4"/>
        <v>4900</v>
      </c>
      <c r="G127" s="505">
        <v>4900000</v>
      </c>
      <c r="H127" s="505">
        <f t="shared" si="5"/>
        <v>4900</v>
      </c>
      <c r="I127" s="505">
        <v>4900000</v>
      </c>
      <c r="J127" s="505">
        <f t="shared" si="6"/>
        <v>4900</v>
      </c>
      <c r="K127" s="506">
        <f t="shared" si="7"/>
        <v>1</v>
      </c>
    </row>
    <row r="128" spans="1:11" ht="21.9" customHeight="1">
      <c r="A128" s="1136" t="s">
        <v>3210</v>
      </c>
      <c r="B128" s="1130" t="s">
        <v>3211</v>
      </c>
      <c r="C128" s="493" t="s">
        <v>3183</v>
      </c>
      <c r="D128" s="493" t="s">
        <v>3184</v>
      </c>
      <c r="E128" s="505">
        <v>0</v>
      </c>
      <c r="F128" s="505">
        <f t="shared" si="4"/>
        <v>0</v>
      </c>
      <c r="G128" s="505">
        <v>20000</v>
      </c>
      <c r="H128" s="505">
        <f t="shared" si="5"/>
        <v>20</v>
      </c>
      <c r="I128" s="505">
        <v>20000</v>
      </c>
      <c r="J128" s="505">
        <f t="shared" si="6"/>
        <v>20</v>
      </c>
      <c r="K128" s="506">
        <f t="shared" si="7"/>
        <v>1</v>
      </c>
    </row>
    <row r="129" spans="1:11" ht="21.9" customHeight="1">
      <c r="A129" s="1136"/>
      <c r="B129" s="1130"/>
      <c r="C129" s="493" t="s">
        <v>3185</v>
      </c>
      <c r="D129" s="493" t="s">
        <v>3186</v>
      </c>
      <c r="E129" s="505">
        <v>200000</v>
      </c>
      <c r="F129" s="505">
        <f t="shared" si="4"/>
        <v>200</v>
      </c>
      <c r="G129" s="505">
        <v>305000</v>
      </c>
      <c r="H129" s="505">
        <f t="shared" si="5"/>
        <v>305</v>
      </c>
      <c r="I129" s="505">
        <v>305000</v>
      </c>
      <c r="J129" s="505">
        <f t="shared" si="6"/>
        <v>305</v>
      </c>
      <c r="K129" s="506">
        <f t="shared" si="7"/>
        <v>1</v>
      </c>
    </row>
    <row r="130" spans="1:11" ht="21.9" customHeight="1">
      <c r="A130" s="1136"/>
      <c r="B130" s="1130"/>
      <c r="C130" s="493" t="s">
        <v>3212</v>
      </c>
      <c r="D130" s="493" t="s">
        <v>3213</v>
      </c>
      <c r="E130" s="505">
        <v>2000000</v>
      </c>
      <c r="F130" s="505">
        <f t="shared" si="4"/>
        <v>2000</v>
      </c>
      <c r="G130" s="505">
        <v>5030000</v>
      </c>
      <c r="H130" s="505">
        <f t="shared" si="5"/>
        <v>5030</v>
      </c>
      <c r="I130" s="505">
        <v>5030000</v>
      </c>
      <c r="J130" s="505">
        <f t="shared" si="6"/>
        <v>5030</v>
      </c>
      <c r="K130" s="506">
        <f t="shared" si="7"/>
        <v>1</v>
      </c>
    </row>
    <row r="131" spans="1:11" ht="21.9" customHeight="1">
      <c r="A131" s="1136"/>
      <c r="B131" s="1130"/>
      <c r="C131" s="493" t="s">
        <v>3124</v>
      </c>
      <c r="D131" s="493" t="s">
        <v>3125</v>
      </c>
      <c r="E131" s="505">
        <v>230000</v>
      </c>
      <c r="F131" s="505">
        <f t="shared" si="4"/>
        <v>230</v>
      </c>
      <c r="G131" s="505">
        <v>657000</v>
      </c>
      <c r="H131" s="505">
        <f t="shared" si="5"/>
        <v>657</v>
      </c>
      <c r="I131" s="505">
        <v>656918</v>
      </c>
      <c r="J131" s="505">
        <f t="shared" si="6"/>
        <v>656.91800000000001</v>
      </c>
      <c r="K131" s="506">
        <f t="shared" si="7"/>
        <v>0.99987519025875193</v>
      </c>
    </row>
    <row r="132" spans="1:11" ht="21.9" customHeight="1">
      <c r="A132" s="1136"/>
      <c r="B132" s="1130"/>
      <c r="C132" s="493" t="s">
        <v>3214</v>
      </c>
      <c r="D132" s="493" t="s">
        <v>3215</v>
      </c>
      <c r="E132" s="505">
        <v>100000</v>
      </c>
      <c r="F132" s="505">
        <f t="shared" si="4"/>
        <v>100</v>
      </c>
      <c r="G132" s="505">
        <v>100000</v>
      </c>
      <c r="H132" s="505">
        <f t="shared" si="5"/>
        <v>100</v>
      </c>
      <c r="I132" s="505">
        <v>100000</v>
      </c>
      <c r="J132" s="505">
        <f t="shared" si="6"/>
        <v>100</v>
      </c>
      <c r="K132" s="506">
        <f t="shared" si="7"/>
        <v>1</v>
      </c>
    </row>
    <row r="133" spans="1:11" ht="21.9" customHeight="1">
      <c r="A133" s="1136"/>
      <c r="B133" s="1130"/>
      <c r="C133" s="493" t="s">
        <v>3082</v>
      </c>
      <c r="D133" s="493" t="s">
        <v>3083</v>
      </c>
      <c r="E133" s="505">
        <v>0</v>
      </c>
      <c r="F133" s="505">
        <f t="shared" si="4"/>
        <v>0</v>
      </c>
      <c r="G133" s="505">
        <v>125000</v>
      </c>
      <c r="H133" s="505">
        <f t="shared" si="5"/>
        <v>125</v>
      </c>
      <c r="I133" s="505">
        <v>125000</v>
      </c>
      <c r="J133" s="505">
        <f t="shared" si="6"/>
        <v>125</v>
      </c>
      <c r="K133" s="506">
        <f t="shared" si="7"/>
        <v>1</v>
      </c>
    </row>
    <row r="134" spans="1:11" ht="21.9" customHeight="1">
      <c r="A134" s="1136"/>
      <c r="B134" s="1130"/>
      <c r="C134" s="493" t="s">
        <v>3187</v>
      </c>
      <c r="D134" s="493" t="s">
        <v>3188</v>
      </c>
      <c r="E134" s="505">
        <v>0</v>
      </c>
      <c r="F134" s="505">
        <f t="shared" si="4"/>
        <v>0</v>
      </c>
      <c r="G134" s="505">
        <v>5000</v>
      </c>
      <c r="H134" s="505">
        <f t="shared" si="5"/>
        <v>5</v>
      </c>
      <c r="I134" s="505">
        <v>5000</v>
      </c>
      <c r="J134" s="505">
        <f t="shared" si="6"/>
        <v>5</v>
      </c>
      <c r="K134" s="506">
        <f t="shared" si="7"/>
        <v>1</v>
      </c>
    </row>
    <row r="135" spans="1:11" ht="21.9" customHeight="1">
      <c r="A135" s="1136" t="s">
        <v>3216</v>
      </c>
      <c r="B135" s="1130" t="s">
        <v>3217</v>
      </c>
      <c r="C135" s="493" t="s">
        <v>3212</v>
      </c>
      <c r="D135" s="493" t="s">
        <v>3213</v>
      </c>
      <c r="E135" s="505">
        <v>400000</v>
      </c>
      <c r="F135" s="505">
        <f t="shared" ref="F135:F198" si="8">E135/1000</f>
        <v>400</v>
      </c>
      <c r="G135" s="505">
        <v>435000</v>
      </c>
      <c r="H135" s="505">
        <f t="shared" ref="H135:H198" si="9">G135/1000</f>
        <v>435</v>
      </c>
      <c r="I135" s="505">
        <v>435000</v>
      </c>
      <c r="J135" s="505">
        <f t="shared" ref="J135:J198" si="10">I135/1000</f>
        <v>435</v>
      </c>
      <c r="K135" s="506">
        <f t="shared" ref="K135:K198" si="11">I135/G135</f>
        <v>1</v>
      </c>
    </row>
    <row r="136" spans="1:11" ht="21.9" customHeight="1">
      <c r="A136" s="1136"/>
      <c r="B136" s="1130"/>
      <c r="C136" s="493" t="s">
        <v>3124</v>
      </c>
      <c r="D136" s="493" t="s">
        <v>3125</v>
      </c>
      <c r="E136" s="505">
        <v>0</v>
      </c>
      <c r="F136" s="505">
        <f t="shared" si="8"/>
        <v>0</v>
      </c>
      <c r="G136" s="505">
        <v>200000</v>
      </c>
      <c r="H136" s="505">
        <f t="shared" si="9"/>
        <v>200</v>
      </c>
      <c r="I136" s="505">
        <v>200000</v>
      </c>
      <c r="J136" s="505">
        <f t="shared" si="10"/>
        <v>200</v>
      </c>
      <c r="K136" s="506">
        <f t="shared" si="11"/>
        <v>1</v>
      </c>
    </row>
    <row r="137" spans="1:11" ht="21.9" customHeight="1">
      <c r="A137" s="1136" t="s">
        <v>3218</v>
      </c>
      <c r="B137" s="1130" t="s">
        <v>3219</v>
      </c>
      <c r="C137" s="493" t="s">
        <v>3074</v>
      </c>
      <c r="D137" s="493" t="s">
        <v>3075</v>
      </c>
      <c r="E137" s="505">
        <v>0</v>
      </c>
      <c r="F137" s="505">
        <f t="shared" si="8"/>
        <v>0</v>
      </c>
      <c r="G137" s="505">
        <v>814399</v>
      </c>
      <c r="H137" s="505">
        <f t="shared" si="9"/>
        <v>814.399</v>
      </c>
      <c r="I137" s="505">
        <v>814399</v>
      </c>
      <c r="J137" s="505">
        <f t="shared" si="10"/>
        <v>814.399</v>
      </c>
      <c r="K137" s="506">
        <f t="shared" si="11"/>
        <v>1</v>
      </c>
    </row>
    <row r="138" spans="1:11" ht="21.9" customHeight="1">
      <c r="A138" s="1136"/>
      <c r="B138" s="1130"/>
      <c r="C138" s="493" t="s">
        <v>3082</v>
      </c>
      <c r="D138" s="493" t="s">
        <v>3083</v>
      </c>
      <c r="E138" s="505">
        <v>7630000</v>
      </c>
      <c r="F138" s="505">
        <f t="shared" si="8"/>
        <v>7630</v>
      </c>
      <c r="G138" s="505">
        <v>7240000</v>
      </c>
      <c r="H138" s="505">
        <f t="shared" si="9"/>
        <v>7240</v>
      </c>
      <c r="I138" s="505">
        <v>7240000</v>
      </c>
      <c r="J138" s="505">
        <f t="shared" si="10"/>
        <v>7240</v>
      </c>
      <c r="K138" s="506">
        <f t="shared" si="11"/>
        <v>1</v>
      </c>
    </row>
    <row r="139" spans="1:11" ht="21.9" customHeight="1">
      <c r="A139" s="1136" t="s">
        <v>3218</v>
      </c>
      <c r="B139" s="1130" t="s">
        <v>3219</v>
      </c>
      <c r="C139" s="493" t="s">
        <v>3096</v>
      </c>
      <c r="D139" s="493" t="s">
        <v>3097</v>
      </c>
      <c r="E139" s="505">
        <v>52375000</v>
      </c>
      <c r="F139" s="505">
        <f t="shared" si="8"/>
        <v>52375</v>
      </c>
      <c r="G139" s="505">
        <v>54813526</v>
      </c>
      <c r="H139" s="505">
        <f t="shared" si="9"/>
        <v>54813.525999999998</v>
      </c>
      <c r="I139" s="505">
        <v>54813526</v>
      </c>
      <c r="J139" s="505">
        <f t="shared" si="10"/>
        <v>54813.525999999998</v>
      </c>
      <c r="K139" s="506">
        <f t="shared" si="11"/>
        <v>1</v>
      </c>
    </row>
    <row r="140" spans="1:11" ht="21.9" customHeight="1">
      <c r="A140" s="1136"/>
      <c r="B140" s="1130"/>
      <c r="C140" s="493" t="s">
        <v>3103</v>
      </c>
      <c r="D140" s="493" t="s">
        <v>3104</v>
      </c>
      <c r="E140" s="505">
        <v>9400000</v>
      </c>
      <c r="F140" s="505">
        <f t="shared" si="8"/>
        <v>9400</v>
      </c>
      <c r="G140" s="505">
        <v>17593953</v>
      </c>
      <c r="H140" s="505">
        <f t="shared" si="9"/>
        <v>17593.953000000001</v>
      </c>
      <c r="I140" s="505">
        <v>17375800.27</v>
      </c>
      <c r="J140" s="505">
        <f t="shared" si="10"/>
        <v>17375.80027</v>
      </c>
      <c r="K140" s="506">
        <f t="shared" si="11"/>
        <v>0.98760069837631148</v>
      </c>
    </row>
    <row r="141" spans="1:11" ht="21.9" customHeight="1">
      <c r="A141" s="1136" t="s">
        <v>3220</v>
      </c>
      <c r="B141" s="1130" t="s">
        <v>3221</v>
      </c>
      <c r="C141" s="493" t="s">
        <v>3115</v>
      </c>
      <c r="D141" s="493" t="s">
        <v>1492</v>
      </c>
      <c r="E141" s="505">
        <v>2802200</v>
      </c>
      <c r="F141" s="505">
        <f t="shared" si="8"/>
        <v>2802.2</v>
      </c>
      <c r="G141" s="505">
        <v>2802200</v>
      </c>
      <c r="H141" s="505">
        <f t="shared" si="9"/>
        <v>2802.2</v>
      </c>
      <c r="I141" s="505">
        <v>1802200</v>
      </c>
      <c r="J141" s="505">
        <f t="shared" si="10"/>
        <v>1802.2</v>
      </c>
      <c r="K141" s="506">
        <f t="shared" si="11"/>
        <v>0.6431375347940903</v>
      </c>
    </row>
    <row r="142" spans="1:11" ht="21.9" customHeight="1">
      <c r="A142" s="1136"/>
      <c r="B142" s="1130"/>
      <c r="C142" s="493" t="s">
        <v>3165</v>
      </c>
      <c r="D142" s="493" t="s">
        <v>3166</v>
      </c>
      <c r="E142" s="505">
        <v>0</v>
      </c>
      <c r="F142" s="505">
        <f t="shared" si="8"/>
        <v>0</v>
      </c>
      <c r="G142" s="505">
        <v>106021.21</v>
      </c>
      <c r="H142" s="505">
        <f t="shared" si="9"/>
        <v>106.02121000000001</v>
      </c>
      <c r="I142" s="505">
        <v>106021.21</v>
      </c>
      <c r="J142" s="505">
        <f t="shared" si="10"/>
        <v>106.02121000000001</v>
      </c>
      <c r="K142" s="506">
        <f t="shared" si="11"/>
        <v>1</v>
      </c>
    </row>
    <row r="143" spans="1:11" ht="21.9" customHeight="1">
      <c r="A143" s="1136"/>
      <c r="B143" s="1130"/>
      <c r="C143" s="493" t="s">
        <v>3072</v>
      </c>
      <c r="D143" s="493" t="s">
        <v>3073</v>
      </c>
      <c r="E143" s="505">
        <v>0</v>
      </c>
      <c r="F143" s="505">
        <f t="shared" si="8"/>
        <v>0</v>
      </c>
      <c r="G143" s="505">
        <v>904580.79</v>
      </c>
      <c r="H143" s="505">
        <f t="shared" si="9"/>
        <v>904.58079000000009</v>
      </c>
      <c r="I143" s="505">
        <v>904580.79</v>
      </c>
      <c r="J143" s="505">
        <f t="shared" si="10"/>
        <v>904.58079000000009</v>
      </c>
      <c r="K143" s="506">
        <f t="shared" si="11"/>
        <v>1</v>
      </c>
    </row>
    <row r="144" spans="1:11" ht="21.9" customHeight="1">
      <c r="A144" s="1136"/>
      <c r="B144" s="1130"/>
      <c r="C144" s="493" t="s">
        <v>3092</v>
      </c>
      <c r="D144" s="493" t="s">
        <v>3093</v>
      </c>
      <c r="E144" s="505">
        <v>127400</v>
      </c>
      <c r="F144" s="505">
        <f t="shared" si="8"/>
        <v>127.4</v>
      </c>
      <c r="G144" s="505">
        <v>127400</v>
      </c>
      <c r="H144" s="505">
        <f t="shared" si="9"/>
        <v>127.4</v>
      </c>
      <c r="I144" s="505">
        <v>127400</v>
      </c>
      <c r="J144" s="505">
        <f t="shared" si="10"/>
        <v>127.4</v>
      </c>
      <c r="K144" s="506">
        <f t="shared" si="11"/>
        <v>1</v>
      </c>
    </row>
    <row r="145" spans="1:11" ht="21.9" customHeight="1">
      <c r="A145" s="1136"/>
      <c r="B145" s="1130"/>
      <c r="C145" s="493" t="s">
        <v>3074</v>
      </c>
      <c r="D145" s="493" t="s">
        <v>3075</v>
      </c>
      <c r="E145" s="505">
        <v>3471000</v>
      </c>
      <c r="F145" s="505">
        <f t="shared" si="8"/>
        <v>3471</v>
      </c>
      <c r="G145" s="505">
        <v>8502595</v>
      </c>
      <c r="H145" s="505">
        <f t="shared" si="9"/>
        <v>8502.5949999999993</v>
      </c>
      <c r="I145" s="505">
        <v>6309539</v>
      </c>
      <c r="J145" s="505">
        <f t="shared" si="10"/>
        <v>6309.5389999999998</v>
      </c>
      <c r="K145" s="506">
        <f t="shared" si="11"/>
        <v>0.74207215561837303</v>
      </c>
    </row>
    <row r="146" spans="1:11" ht="21.9" customHeight="1">
      <c r="A146" s="1136"/>
      <c r="B146" s="1130"/>
      <c r="C146" s="493" t="s">
        <v>3096</v>
      </c>
      <c r="D146" s="493" t="s">
        <v>3097</v>
      </c>
      <c r="E146" s="505">
        <v>140211000</v>
      </c>
      <c r="F146" s="505">
        <f t="shared" si="8"/>
        <v>140211</v>
      </c>
      <c r="G146" s="505">
        <v>143351291</v>
      </c>
      <c r="H146" s="505">
        <f t="shared" si="9"/>
        <v>143351.291</v>
      </c>
      <c r="I146" s="505">
        <v>143351291</v>
      </c>
      <c r="J146" s="505">
        <f t="shared" si="10"/>
        <v>143351.291</v>
      </c>
      <c r="K146" s="506">
        <f t="shared" si="11"/>
        <v>1</v>
      </c>
    </row>
    <row r="147" spans="1:11" ht="21.9" customHeight="1">
      <c r="A147" s="1136"/>
      <c r="B147" s="1130"/>
      <c r="C147" s="493" t="s">
        <v>3098</v>
      </c>
      <c r="D147" s="493" t="s">
        <v>3099</v>
      </c>
      <c r="E147" s="505">
        <v>0</v>
      </c>
      <c r="F147" s="505">
        <f t="shared" si="8"/>
        <v>0</v>
      </c>
      <c r="G147" s="505">
        <v>1977959.64</v>
      </c>
      <c r="H147" s="505">
        <f t="shared" si="9"/>
        <v>1977.9596399999998</v>
      </c>
      <c r="I147" s="505">
        <v>889595.83</v>
      </c>
      <c r="J147" s="505">
        <f t="shared" si="10"/>
        <v>889.59582999999998</v>
      </c>
      <c r="K147" s="506">
        <f t="shared" si="11"/>
        <v>0.44975428821186664</v>
      </c>
    </row>
    <row r="148" spans="1:11" ht="21.9" customHeight="1">
      <c r="A148" s="1136"/>
      <c r="B148" s="1130"/>
      <c r="C148" s="493" t="s">
        <v>3102</v>
      </c>
      <c r="D148" s="493" t="s">
        <v>1485</v>
      </c>
      <c r="E148" s="505">
        <v>6600000</v>
      </c>
      <c r="F148" s="505">
        <f t="shared" si="8"/>
        <v>6600</v>
      </c>
      <c r="G148" s="505">
        <v>6611830</v>
      </c>
      <c r="H148" s="505">
        <f t="shared" si="9"/>
        <v>6611.83</v>
      </c>
      <c r="I148" s="505">
        <v>6611830</v>
      </c>
      <c r="J148" s="505">
        <f t="shared" si="10"/>
        <v>6611.83</v>
      </c>
      <c r="K148" s="506">
        <f t="shared" si="11"/>
        <v>1</v>
      </c>
    </row>
    <row r="149" spans="1:11" ht="21.9" customHeight="1">
      <c r="A149" s="1136"/>
      <c r="B149" s="1130"/>
      <c r="C149" s="493" t="s">
        <v>3169</v>
      </c>
      <c r="D149" s="493" t="s">
        <v>1482</v>
      </c>
      <c r="E149" s="505">
        <v>0</v>
      </c>
      <c r="F149" s="505">
        <f t="shared" si="8"/>
        <v>0</v>
      </c>
      <c r="G149" s="505">
        <v>1077240</v>
      </c>
      <c r="H149" s="505">
        <f t="shared" si="9"/>
        <v>1077.24</v>
      </c>
      <c r="I149" s="505">
        <v>1077240</v>
      </c>
      <c r="J149" s="505">
        <f t="shared" si="10"/>
        <v>1077.24</v>
      </c>
      <c r="K149" s="506">
        <f t="shared" si="11"/>
        <v>1</v>
      </c>
    </row>
    <row r="150" spans="1:11" ht="21.9" customHeight="1">
      <c r="A150" s="1136"/>
      <c r="B150" s="1130"/>
      <c r="C150" s="493" t="s">
        <v>3103</v>
      </c>
      <c r="D150" s="493" t="s">
        <v>3104</v>
      </c>
      <c r="E150" s="505">
        <v>11700000</v>
      </c>
      <c r="F150" s="505">
        <f t="shared" si="8"/>
        <v>11700</v>
      </c>
      <c r="G150" s="505">
        <v>34370773.299999997</v>
      </c>
      <c r="H150" s="505">
        <f t="shared" si="9"/>
        <v>34370.773299999993</v>
      </c>
      <c r="I150" s="505">
        <v>23873040.640000001</v>
      </c>
      <c r="J150" s="505">
        <f t="shared" si="10"/>
        <v>23873.040639999999</v>
      </c>
      <c r="K150" s="506">
        <f t="shared" si="11"/>
        <v>0.69457385877320377</v>
      </c>
    </row>
    <row r="151" spans="1:11" ht="21.9" customHeight="1">
      <c r="A151" s="1136" t="s">
        <v>3222</v>
      </c>
      <c r="B151" s="1130" t="s">
        <v>3223</v>
      </c>
      <c r="C151" s="493" t="s">
        <v>3183</v>
      </c>
      <c r="D151" s="493" t="s">
        <v>3184</v>
      </c>
      <c r="E151" s="505">
        <v>0</v>
      </c>
      <c r="F151" s="505">
        <f t="shared" si="8"/>
        <v>0</v>
      </c>
      <c r="G151" s="505">
        <v>45000</v>
      </c>
      <c r="H151" s="505">
        <f t="shared" si="9"/>
        <v>45</v>
      </c>
      <c r="I151" s="505">
        <v>45000</v>
      </c>
      <c r="J151" s="505">
        <f t="shared" si="10"/>
        <v>45</v>
      </c>
      <c r="K151" s="506">
        <f t="shared" si="11"/>
        <v>1</v>
      </c>
    </row>
    <row r="152" spans="1:11" ht="21.9" customHeight="1">
      <c r="A152" s="1136"/>
      <c r="B152" s="1130"/>
      <c r="C152" s="493" t="s">
        <v>3185</v>
      </c>
      <c r="D152" s="493" t="s">
        <v>3186</v>
      </c>
      <c r="E152" s="505">
        <v>0</v>
      </c>
      <c r="F152" s="505">
        <f t="shared" si="8"/>
        <v>0</v>
      </c>
      <c r="G152" s="505">
        <v>120000</v>
      </c>
      <c r="H152" s="505">
        <f t="shared" si="9"/>
        <v>120</v>
      </c>
      <c r="I152" s="505">
        <v>120000</v>
      </c>
      <c r="J152" s="505">
        <f t="shared" si="10"/>
        <v>120</v>
      </c>
      <c r="K152" s="506">
        <f t="shared" si="11"/>
        <v>1</v>
      </c>
    </row>
    <row r="153" spans="1:11" ht="21.9" customHeight="1">
      <c r="A153" s="1136"/>
      <c r="B153" s="1130"/>
      <c r="C153" s="493" t="s">
        <v>3124</v>
      </c>
      <c r="D153" s="493" t="s">
        <v>3125</v>
      </c>
      <c r="E153" s="505">
        <v>0</v>
      </c>
      <c r="F153" s="505">
        <f t="shared" si="8"/>
        <v>0</v>
      </c>
      <c r="G153" s="505">
        <v>85000</v>
      </c>
      <c r="H153" s="505">
        <f t="shared" si="9"/>
        <v>85</v>
      </c>
      <c r="I153" s="505">
        <v>85000</v>
      </c>
      <c r="J153" s="505">
        <f t="shared" si="10"/>
        <v>85</v>
      </c>
      <c r="K153" s="506">
        <f t="shared" si="11"/>
        <v>1</v>
      </c>
    </row>
    <row r="154" spans="1:11" ht="21.9" customHeight="1">
      <c r="A154" s="1136"/>
      <c r="B154" s="1130"/>
      <c r="C154" s="493" t="s">
        <v>3082</v>
      </c>
      <c r="D154" s="493" t="s">
        <v>3083</v>
      </c>
      <c r="E154" s="505">
        <v>0</v>
      </c>
      <c r="F154" s="505">
        <f t="shared" si="8"/>
        <v>0</v>
      </c>
      <c r="G154" s="505">
        <v>85000</v>
      </c>
      <c r="H154" s="505">
        <f t="shared" si="9"/>
        <v>85</v>
      </c>
      <c r="I154" s="505">
        <v>85000</v>
      </c>
      <c r="J154" s="505">
        <f t="shared" si="10"/>
        <v>85</v>
      </c>
      <c r="K154" s="506">
        <f t="shared" si="11"/>
        <v>1</v>
      </c>
    </row>
    <row r="155" spans="1:11" ht="21.9" customHeight="1">
      <c r="A155" s="1136"/>
      <c r="B155" s="1130"/>
      <c r="C155" s="493" t="s">
        <v>3187</v>
      </c>
      <c r="D155" s="493" t="s">
        <v>3188</v>
      </c>
      <c r="E155" s="505">
        <v>0</v>
      </c>
      <c r="F155" s="505">
        <f t="shared" si="8"/>
        <v>0</v>
      </c>
      <c r="G155" s="505">
        <v>25000</v>
      </c>
      <c r="H155" s="505">
        <f t="shared" si="9"/>
        <v>25</v>
      </c>
      <c r="I155" s="505">
        <v>10000</v>
      </c>
      <c r="J155" s="505">
        <f t="shared" si="10"/>
        <v>10</v>
      </c>
      <c r="K155" s="506">
        <f t="shared" si="11"/>
        <v>0.4</v>
      </c>
    </row>
    <row r="156" spans="1:11" ht="21.9" customHeight="1">
      <c r="A156" s="1136" t="s">
        <v>3224</v>
      </c>
      <c r="B156" s="1130" t="s">
        <v>3225</v>
      </c>
      <c r="C156" s="493" t="s">
        <v>3074</v>
      </c>
      <c r="D156" s="493" t="s">
        <v>3075</v>
      </c>
      <c r="E156" s="505">
        <v>0</v>
      </c>
      <c r="F156" s="505">
        <f t="shared" si="8"/>
        <v>0</v>
      </c>
      <c r="G156" s="505">
        <v>50000</v>
      </c>
      <c r="H156" s="505">
        <f t="shared" si="9"/>
        <v>50</v>
      </c>
      <c r="I156" s="505">
        <v>50000</v>
      </c>
      <c r="J156" s="505">
        <f t="shared" si="10"/>
        <v>50</v>
      </c>
      <c r="K156" s="506">
        <f t="shared" si="11"/>
        <v>1</v>
      </c>
    </row>
    <row r="157" spans="1:11" ht="21.9" customHeight="1">
      <c r="A157" s="1136"/>
      <c r="B157" s="1130"/>
      <c r="C157" s="493" t="s">
        <v>3183</v>
      </c>
      <c r="D157" s="493" t="s">
        <v>3184</v>
      </c>
      <c r="E157" s="505">
        <v>0</v>
      </c>
      <c r="F157" s="505">
        <f t="shared" si="8"/>
        <v>0</v>
      </c>
      <c r="G157" s="505">
        <v>25000</v>
      </c>
      <c r="H157" s="505">
        <f t="shared" si="9"/>
        <v>25</v>
      </c>
      <c r="I157" s="505">
        <v>25000</v>
      </c>
      <c r="J157" s="505">
        <f t="shared" si="10"/>
        <v>25</v>
      </c>
      <c r="K157" s="506">
        <f t="shared" si="11"/>
        <v>1</v>
      </c>
    </row>
    <row r="158" spans="1:11" ht="21.9" customHeight="1">
      <c r="A158" s="1136"/>
      <c r="B158" s="1130"/>
      <c r="C158" s="493" t="s">
        <v>3124</v>
      </c>
      <c r="D158" s="493" t="s">
        <v>3125</v>
      </c>
      <c r="E158" s="505">
        <v>0</v>
      </c>
      <c r="F158" s="505">
        <f t="shared" si="8"/>
        <v>0</v>
      </c>
      <c r="G158" s="505">
        <v>15000</v>
      </c>
      <c r="H158" s="505">
        <f t="shared" si="9"/>
        <v>15</v>
      </c>
      <c r="I158" s="505">
        <v>15000</v>
      </c>
      <c r="J158" s="505">
        <f t="shared" si="10"/>
        <v>15</v>
      </c>
      <c r="K158" s="506">
        <f t="shared" si="11"/>
        <v>1</v>
      </c>
    </row>
    <row r="159" spans="1:11" ht="21.9" customHeight="1">
      <c r="A159" s="1136"/>
      <c r="B159" s="1130"/>
      <c r="C159" s="493" t="s">
        <v>3078</v>
      </c>
      <c r="D159" s="493" t="s">
        <v>3079</v>
      </c>
      <c r="E159" s="505">
        <v>150000</v>
      </c>
      <c r="F159" s="505">
        <f t="shared" si="8"/>
        <v>150</v>
      </c>
      <c r="G159" s="505">
        <v>150000</v>
      </c>
      <c r="H159" s="505">
        <f t="shared" si="9"/>
        <v>150</v>
      </c>
      <c r="I159" s="505">
        <v>150000</v>
      </c>
      <c r="J159" s="505">
        <f t="shared" si="10"/>
        <v>150</v>
      </c>
      <c r="K159" s="506">
        <f t="shared" si="11"/>
        <v>1</v>
      </c>
    </row>
    <row r="160" spans="1:11" ht="21.9" customHeight="1">
      <c r="A160" s="1136"/>
      <c r="B160" s="1130"/>
      <c r="C160" s="493" t="s">
        <v>3082</v>
      </c>
      <c r="D160" s="493" t="s">
        <v>3083</v>
      </c>
      <c r="E160" s="505">
        <v>0</v>
      </c>
      <c r="F160" s="505">
        <f t="shared" si="8"/>
        <v>0</v>
      </c>
      <c r="G160" s="505">
        <v>5000</v>
      </c>
      <c r="H160" s="505">
        <f t="shared" si="9"/>
        <v>5</v>
      </c>
      <c r="I160" s="505">
        <v>5000</v>
      </c>
      <c r="J160" s="505">
        <f t="shared" si="10"/>
        <v>5</v>
      </c>
      <c r="K160" s="506">
        <f t="shared" si="11"/>
        <v>1</v>
      </c>
    </row>
    <row r="161" spans="1:11" ht="21.9" customHeight="1">
      <c r="A161" s="1136" t="s">
        <v>3226</v>
      </c>
      <c r="B161" s="1130" t="s">
        <v>3227</v>
      </c>
      <c r="C161" s="493" t="s">
        <v>3183</v>
      </c>
      <c r="D161" s="493" t="s">
        <v>3184</v>
      </c>
      <c r="E161" s="505">
        <v>0</v>
      </c>
      <c r="F161" s="505">
        <f t="shared" si="8"/>
        <v>0</v>
      </c>
      <c r="G161" s="505">
        <v>50000</v>
      </c>
      <c r="H161" s="505">
        <f t="shared" si="9"/>
        <v>50</v>
      </c>
      <c r="I161" s="505">
        <v>50000</v>
      </c>
      <c r="J161" s="505">
        <f t="shared" si="10"/>
        <v>50</v>
      </c>
      <c r="K161" s="506">
        <f t="shared" si="11"/>
        <v>1</v>
      </c>
    </row>
    <row r="162" spans="1:11" ht="21.9" customHeight="1">
      <c r="A162" s="1136"/>
      <c r="B162" s="1130"/>
      <c r="C162" s="493" t="s">
        <v>3185</v>
      </c>
      <c r="D162" s="493" t="s">
        <v>3186</v>
      </c>
      <c r="E162" s="505">
        <v>0</v>
      </c>
      <c r="F162" s="505">
        <f t="shared" si="8"/>
        <v>0</v>
      </c>
      <c r="G162" s="505">
        <v>20000</v>
      </c>
      <c r="H162" s="505">
        <f t="shared" si="9"/>
        <v>20</v>
      </c>
      <c r="I162" s="505">
        <v>20000</v>
      </c>
      <c r="J162" s="505">
        <f t="shared" si="10"/>
        <v>20</v>
      </c>
      <c r="K162" s="506">
        <f t="shared" si="11"/>
        <v>1</v>
      </c>
    </row>
    <row r="163" spans="1:11" ht="21.9" customHeight="1">
      <c r="A163" s="1136"/>
      <c r="B163" s="1130"/>
      <c r="C163" s="493" t="s">
        <v>3124</v>
      </c>
      <c r="D163" s="493" t="s">
        <v>3125</v>
      </c>
      <c r="E163" s="505">
        <v>600000</v>
      </c>
      <c r="F163" s="505">
        <f t="shared" si="8"/>
        <v>600</v>
      </c>
      <c r="G163" s="505">
        <v>325280</v>
      </c>
      <c r="H163" s="505">
        <f t="shared" si="9"/>
        <v>325.27999999999997</v>
      </c>
      <c r="I163" s="505">
        <v>238000</v>
      </c>
      <c r="J163" s="505">
        <f t="shared" si="10"/>
        <v>238</v>
      </c>
      <c r="K163" s="506">
        <f t="shared" si="11"/>
        <v>0.73167732415150022</v>
      </c>
    </row>
    <row r="164" spans="1:11" ht="21.9" customHeight="1">
      <c r="A164" s="1136"/>
      <c r="B164" s="1130"/>
      <c r="C164" s="493" t="s">
        <v>3078</v>
      </c>
      <c r="D164" s="493" t="s">
        <v>3079</v>
      </c>
      <c r="E164" s="505">
        <v>0</v>
      </c>
      <c r="F164" s="505">
        <f t="shared" si="8"/>
        <v>0</v>
      </c>
      <c r="G164" s="505">
        <v>10000</v>
      </c>
      <c r="H164" s="505">
        <f t="shared" si="9"/>
        <v>10</v>
      </c>
      <c r="I164" s="505">
        <v>10000</v>
      </c>
      <c r="J164" s="505">
        <f t="shared" si="10"/>
        <v>10</v>
      </c>
      <c r="K164" s="506">
        <f t="shared" si="11"/>
        <v>1</v>
      </c>
    </row>
    <row r="165" spans="1:11" ht="21.9" customHeight="1">
      <c r="A165" s="1136"/>
      <c r="B165" s="1130"/>
      <c r="C165" s="493" t="s">
        <v>3082</v>
      </c>
      <c r="D165" s="493" t="s">
        <v>3083</v>
      </c>
      <c r="E165" s="505">
        <v>0</v>
      </c>
      <c r="F165" s="505">
        <f t="shared" si="8"/>
        <v>0</v>
      </c>
      <c r="G165" s="505">
        <v>58000</v>
      </c>
      <c r="H165" s="505">
        <f t="shared" si="9"/>
        <v>58</v>
      </c>
      <c r="I165" s="505">
        <v>58000</v>
      </c>
      <c r="J165" s="505">
        <f t="shared" si="10"/>
        <v>58</v>
      </c>
      <c r="K165" s="506">
        <f t="shared" si="11"/>
        <v>1</v>
      </c>
    </row>
    <row r="166" spans="1:11" ht="21.9" customHeight="1">
      <c r="A166" s="1136"/>
      <c r="B166" s="1130"/>
      <c r="C166" s="493" t="s">
        <v>3096</v>
      </c>
      <c r="D166" s="493" t="s">
        <v>3097</v>
      </c>
      <c r="E166" s="505">
        <v>2354000</v>
      </c>
      <c r="F166" s="505">
        <f t="shared" si="8"/>
        <v>2354</v>
      </c>
      <c r="G166" s="505">
        <v>2354000</v>
      </c>
      <c r="H166" s="505">
        <f t="shared" si="9"/>
        <v>2354</v>
      </c>
      <c r="I166" s="505">
        <v>2354000</v>
      </c>
      <c r="J166" s="505">
        <f t="shared" si="10"/>
        <v>2354</v>
      </c>
      <c r="K166" s="506">
        <f t="shared" si="11"/>
        <v>1</v>
      </c>
    </row>
    <row r="167" spans="1:11" ht="21.9" customHeight="1">
      <c r="A167" s="1136"/>
      <c r="B167" s="1130"/>
      <c r="C167" s="493" t="s">
        <v>3103</v>
      </c>
      <c r="D167" s="493" t="s">
        <v>3104</v>
      </c>
      <c r="E167" s="505">
        <v>0</v>
      </c>
      <c r="F167" s="505">
        <f t="shared" si="8"/>
        <v>0</v>
      </c>
      <c r="G167" s="505">
        <v>379551</v>
      </c>
      <c r="H167" s="505">
        <f t="shared" si="9"/>
        <v>379.55099999999999</v>
      </c>
      <c r="I167" s="505">
        <v>358962.4</v>
      </c>
      <c r="J167" s="505">
        <f t="shared" si="10"/>
        <v>358.9624</v>
      </c>
      <c r="K167" s="506">
        <f t="shared" si="11"/>
        <v>0.94575537938248089</v>
      </c>
    </row>
    <row r="168" spans="1:11" ht="21.9" customHeight="1">
      <c r="A168" s="1136" t="s">
        <v>3228</v>
      </c>
      <c r="B168" s="1130" t="s">
        <v>3229</v>
      </c>
      <c r="C168" s="493" t="s">
        <v>3185</v>
      </c>
      <c r="D168" s="493" t="s">
        <v>3186</v>
      </c>
      <c r="E168" s="505">
        <v>0</v>
      </c>
      <c r="F168" s="505">
        <f t="shared" si="8"/>
        <v>0</v>
      </c>
      <c r="G168" s="505">
        <v>925000</v>
      </c>
      <c r="H168" s="505">
        <f t="shared" si="9"/>
        <v>925</v>
      </c>
      <c r="I168" s="505">
        <v>925000</v>
      </c>
      <c r="J168" s="505">
        <f t="shared" si="10"/>
        <v>925</v>
      </c>
      <c r="K168" s="506">
        <f t="shared" si="11"/>
        <v>1</v>
      </c>
    </row>
    <row r="169" spans="1:11" ht="21.9" customHeight="1">
      <c r="A169" s="1136"/>
      <c r="B169" s="1130"/>
      <c r="C169" s="493" t="s">
        <v>3124</v>
      </c>
      <c r="D169" s="493" t="s">
        <v>3125</v>
      </c>
      <c r="E169" s="505">
        <v>0</v>
      </c>
      <c r="F169" s="505">
        <f t="shared" si="8"/>
        <v>0</v>
      </c>
      <c r="G169" s="505">
        <v>365000</v>
      </c>
      <c r="H169" s="505">
        <f t="shared" si="9"/>
        <v>365</v>
      </c>
      <c r="I169" s="505">
        <v>365000</v>
      </c>
      <c r="J169" s="505">
        <f t="shared" si="10"/>
        <v>365</v>
      </c>
      <c r="K169" s="506">
        <f t="shared" si="11"/>
        <v>1</v>
      </c>
    </row>
    <row r="170" spans="1:11" ht="21.9" customHeight="1">
      <c r="A170" s="1136"/>
      <c r="B170" s="1130"/>
      <c r="C170" s="493" t="s">
        <v>3214</v>
      </c>
      <c r="D170" s="493" t="s">
        <v>3215</v>
      </c>
      <c r="E170" s="505">
        <v>0</v>
      </c>
      <c r="F170" s="505">
        <f t="shared" si="8"/>
        <v>0</v>
      </c>
      <c r="G170" s="505">
        <v>2770000</v>
      </c>
      <c r="H170" s="505">
        <f t="shared" si="9"/>
        <v>2770</v>
      </c>
      <c r="I170" s="505">
        <v>2770000</v>
      </c>
      <c r="J170" s="505">
        <f t="shared" si="10"/>
        <v>2770</v>
      </c>
      <c r="K170" s="506">
        <f t="shared" si="11"/>
        <v>1</v>
      </c>
    </row>
    <row r="171" spans="1:11" ht="21.9" customHeight="1">
      <c r="A171" s="1136"/>
      <c r="B171" s="1130"/>
      <c r="C171" s="493" t="s">
        <v>3082</v>
      </c>
      <c r="D171" s="493" t="s">
        <v>3083</v>
      </c>
      <c r="E171" s="505">
        <v>0</v>
      </c>
      <c r="F171" s="505">
        <f t="shared" si="8"/>
        <v>0</v>
      </c>
      <c r="G171" s="505">
        <v>1915000</v>
      </c>
      <c r="H171" s="505">
        <f t="shared" si="9"/>
        <v>1915</v>
      </c>
      <c r="I171" s="505">
        <v>1915000</v>
      </c>
      <c r="J171" s="505">
        <f t="shared" si="10"/>
        <v>1915</v>
      </c>
      <c r="K171" s="506">
        <f t="shared" si="11"/>
        <v>1</v>
      </c>
    </row>
    <row r="172" spans="1:11" ht="21.9" customHeight="1">
      <c r="A172" s="1136"/>
      <c r="B172" s="1130"/>
      <c r="C172" s="493" t="s">
        <v>3187</v>
      </c>
      <c r="D172" s="493" t="s">
        <v>3188</v>
      </c>
      <c r="E172" s="505">
        <v>8500000</v>
      </c>
      <c r="F172" s="505">
        <f t="shared" si="8"/>
        <v>8500</v>
      </c>
      <c r="G172" s="505">
        <v>2990000</v>
      </c>
      <c r="H172" s="505">
        <f t="shared" si="9"/>
        <v>2990</v>
      </c>
      <c r="I172" s="505">
        <v>2989000</v>
      </c>
      <c r="J172" s="505">
        <f t="shared" si="10"/>
        <v>2989</v>
      </c>
      <c r="K172" s="506">
        <f t="shared" si="11"/>
        <v>0.99966555183946493</v>
      </c>
    </row>
    <row r="173" spans="1:11" ht="32.25" customHeight="1">
      <c r="A173" s="509" t="s">
        <v>3230</v>
      </c>
      <c r="B173" s="493" t="s">
        <v>3231</v>
      </c>
      <c r="C173" s="493" t="s">
        <v>3082</v>
      </c>
      <c r="D173" s="493" t="s">
        <v>3083</v>
      </c>
      <c r="E173" s="505">
        <v>0</v>
      </c>
      <c r="F173" s="505">
        <f t="shared" si="8"/>
        <v>0</v>
      </c>
      <c r="G173" s="505">
        <v>285000</v>
      </c>
      <c r="H173" s="505">
        <f t="shared" si="9"/>
        <v>285</v>
      </c>
      <c r="I173" s="505">
        <v>285000</v>
      </c>
      <c r="J173" s="505">
        <f t="shared" si="10"/>
        <v>285</v>
      </c>
      <c r="K173" s="506">
        <f t="shared" si="11"/>
        <v>1</v>
      </c>
    </row>
    <row r="174" spans="1:11" ht="21.9" customHeight="1">
      <c r="A174" s="1136" t="s">
        <v>3232</v>
      </c>
      <c r="B174" s="1130" t="s">
        <v>3233</v>
      </c>
      <c r="C174" s="493" t="s">
        <v>3115</v>
      </c>
      <c r="D174" s="493" t="s">
        <v>1492</v>
      </c>
      <c r="E174" s="505">
        <v>268200</v>
      </c>
      <c r="F174" s="505">
        <f t="shared" si="8"/>
        <v>268.2</v>
      </c>
      <c r="G174" s="505">
        <v>268200</v>
      </c>
      <c r="H174" s="505">
        <f t="shared" si="9"/>
        <v>268.2</v>
      </c>
      <c r="I174" s="505">
        <v>268200</v>
      </c>
      <c r="J174" s="505">
        <f t="shared" si="10"/>
        <v>268.2</v>
      </c>
      <c r="K174" s="506">
        <f t="shared" si="11"/>
        <v>1</v>
      </c>
    </row>
    <row r="175" spans="1:11" ht="21.9" customHeight="1">
      <c r="A175" s="1136"/>
      <c r="B175" s="1130"/>
      <c r="C175" s="493" t="s">
        <v>3133</v>
      </c>
      <c r="D175" s="493" t="s">
        <v>3134</v>
      </c>
      <c r="E175" s="505">
        <v>67056</v>
      </c>
      <c r="F175" s="505">
        <f t="shared" si="8"/>
        <v>67.055999999999997</v>
      </c>
      <c r="G175" s="505">
        <v>67056</v>
      </c>
      <c r="H175" s="505">
        <f t="shared" si="9"/>
        <v>67.055999999999997</v>
      </c>
      <c r="I175" s="505">
        <v>67056</v>
      </c>
      <c r="J175" s="505">
        <f t="shared" si="10"/>
        <v>67.055999999999997</v>
      </c>
      <c r="K175" s="506">
        <f t="shared" si="11"/>
        <v>1</v>
      </c>
    </row>
    <row r="176" spans="1:11" ht="21.9" customHeight="1">
      <c r="A176" s="1136"/>
      <c r="B176" s="1130"/>
      <c r="C176" s="493" t="s">
        <v>3135</v>
      </c>
      <c r="D176" s="493" t="s">
        <v>3136</v>
      </c>
      <c r="E176" s="505">
        <v>24144</v>
      </c>
      <c r="F176" s="505">
        <f t="shared" si="8"/>
        <v>24.143999999999998</v>
      </c>
      <c r="G176" s="505">
        <v>24144</v>
      </c>
      <c r="H176" s="505">
        <f t="shared" si="9"/>
        <v>24.143999999999998</v>
      </c>
      <c r="I176" s="505">
        <v>24144</v>
      </c>
      <c r="J176" s="505">
        <f t="shared" si="10"/>
        <v>24.143999999999998</v>
      </c>
      <c r="K176" s="506">
        <f t="shared" si="11"/>
        <v>1</v>
      </c>
    </row>
    <row r="177" spans="1:11" ht="21.9" customHeight="1">
      <c r="A177" s="1136"/>
      <c r="B177" s="1130"/>
      <c r="C177" s="493" t="s">
        <v>3145</v>
      </c>
      <c r="D177" s="493" t="s">
        <v>3146</v>
      </c>
      <c r="E177" s="505">
        <v>0</v>
      </c>
      <c r="F177" s="505">
        <f t="shared" si="8"/>
        <v>0</v>
      </c>
      <c r="G177" s="505">
        <v>154505</v>
      </c>
      <c r="H177" s="505">
        <f t="shared" si="9"/>
        <v>154.505</v>
      </c>
      <c r="I177" s="505">
        <v>154505</v>
      </c>
      <c r="J177" s="505">
        <f t="shared" si="10"/>
        <v>154.505</v>
      </c>
      <c r="K177" s="506">
        <f t="shared" si="11"/>
        <v>1</v>
      </c>
    </row>
    <row r="178" spans="1:11" ht="21.9" customHeight="1">
      <c r="A178" s="1136"/>
      <c r="B178" s="1130"/>
      <c r="C178" s="493" t="s">
        <v>3165</v>
      </c>
      <c r="D178" s="493" t="s">
        <v>3166</v>
      </c>
      <c r="E178" s="505">
        <v>0</v>
      </c>
      <c r="F178" s="505">
        <f t="shared" si="8"/>
        <v>0</v>
      </c>
      <c r="G178" s="505">
        <v>219996</v>
      </c>
      <c r="H178" s="505">
        <f t="shared" si="9"/>
        <v>219.99600000000001</v>
      </c>
      <c r="I178" s="505">
        <v>219996</v>
      </c>
      <c r="J178" s="505">
        <f t="shared" si="10"/>
        <v>219.99600000000001</v>
      </c>
      <c r="K178" s="506">
        <f t="shared" si="11"/>
        <v>1</v>
      </c>
    </row>
    <row r="179" spans="1:11" ht="21.9" customHeight="1">
      <c r="A179" s="1136"/>
      <c r="B179" s="1130"/>
      <c r="C179" s="493" t="s">
        <v>3072</v>
      </c>
      <c r="D179" s="493" t="s">
        <v>3073</v>
      </c>
      <c r="E179" s="505">
        <v>0</v>
      </c>
      <c r="F179" s="505">
        <f t="shared" si="8"/>
        <v>0</v>
      </c>
      <c r="G179" s="505">
        <v>4920</v>
      </c>
      <c r="H179" s="505">
        <f t="shared" si="9"/>
        <v>4.92</v>
      </c>
      <c r="I179" s="505">
        <v>4920</v>
      </c>
      <c r="J179" s="505">
        <f t="shared" si="10"/>
        <v>4.92</v>
      </c>
      <c r="K179" s="506">
        <f t="shared" si="11"/>
        <v>1</v>
      </c>
    </row>
    <row r="180" spans="1:11" ht="21.9" customHeight="1">
      <c r="A180" s="1136"/>
      <c r="B180" s="1130"/>
      <c r="C180" s="493" t="s">
        <v>3092</v>
      </c>
      <c r="D180" s="493" t="s">
        <v>3093</v>
      </c>
      <c r="E180" s="505">
        <v>0</v>
      </c>
      <c r="F180" s="505">
        <f t="shared" si="8"/>
        <v>0</v>
      </c>
      <c r="G180" s="505">
        <v>418328</v>
      </c>
      <c r="H180" s="505">
        <f t="shared" si="9"/>
        <v>418.32799999999997</v>
      </c>
      <c r="I180" s="505">
        <v>418328</v>
      </c>
      <c r="J180" s="505">
        <f t="shared" si="10"/>
        <v>418.32799999999997</v>
      </c>
      <c r="K180" s="506">
        <f t="shared" si="11"/>
        <v>1</v>
      </c>
    </row>
    <row r="181" spans="1:11" ht="21.9" customHeight="1">
      <c r="A181" s="1136"/>
      <c r="B181" s="1130"/>
      <c r="C181" s="493" t="s">
        <v>3074</v>
      </c>
      <c r="D181" s="493" t="s">
        <v>3075</v>
      </c>
      <c r="E181" s="505">
        <v>740000</v>
      </c>
      <c r="F181" s="505">
        <f t="shared" si="8"/>
        <v>740</v>
      </c>
      <c r="G181" s="505">
        <v>258415</v>
      </c>
      <c r="H181" s="505">
        <f t="shared" si="9"/>
        <v>258.41500000000002</v>
      </c>
      <c r="I181" s="505">
        <v>92490</v>
      </c>
      <c r="J181" s="505">
        <f t="shared" si="10"/>
        <v>92.49</v>
      </c>
      <c r="K181" s="506">
        <f t="shared" si="11"/>
        <v>0.35791265986881565</v>
      </c>
    </row>
    <row r="182" spans="1:11" ht="21.9" customHeight="1">
      <c r="A182" s="509" t="s">
        <v>3234</v>
      </c>
      <c r="B182" s="493" t="s">
        <v>3235</v>
      </c>
      <c r="C182" s="493" t="s">
        <v>3082</v>
      </c>
      <c r="D182" s="493" t="s">
        <v>3083</v>
      </c>
      <c r="E182" s="505">
        <v>0</v>
      </c>
      <c r="F182" s="505">
        <f t="shared" si="8"/>
        <v>0</v>
      </c>
      <c r="G182" s="505">
        <v>11000</v>
      </c>
      <c r="H182" s="505">
        <f t="shared" si="9"/>
        <v>11</v>
      </c>
      <c r="I182" s="505">
        <v>11000</v>
      </c>
      <c r="J182" s="505">
        <f t="shared" si="10"/>
        <v>11</v>
      </c>
      <c r="K182" s="506">
        <f t="shared" si="11"/>
        <v>1</v>
      </c>
    </row>
    <row r="183" spans="1:11" ht="21.9" customHeight="1">
      <c r="A183" s="1136" t="s">
        <v>3236</v>
      </c>
      <c r="B183" s="1130" t="s">
        <v>3237</v>
      </c>
      <c r="C183" s="493" t="s">
        <v>3212</v>
      </c>
      <c r="D183" s="493" t="s">
        <v>3213</v>
      </c>
      <c r="E183" s="505">
        <v>400000</v>
      </c>
      <c r="F183" s="505">
        <f t="shared" si="8"/>
        <v>400</v>
      </c>
      <c r="G183" s="505">
        <v>0</v>
      </c>
      <c r="H183" s="505">
        <f t="shared" si="9"/>
        <v>0</v>
      </c>
      <c r="I183" s="505">
        <v>0</v>
      </c>
      <c r="J183" s="505">
        <f t="shared" si="10"/>
        <v>0</v>
      </c>
      <c r="K183" s="510" t="s">
        <v>1147</v>
      </c>
    </row>
    <row r="184" spans="1:11" ht="21.9" customHeight="1">
      <c r="A184" s="1136"/>
      <c r="B184" s="1130"/>
      <c r="C184" s="493" t="s">
        <v>3124</v>
      </c>
      <c r="D184" s="493" t="s">
        <v>3125</v>
      </c>
      <c r="E184" s="505">
        <v>0</v>
      </c>
      <c r="F184" s="505">
        <f t="shared" si="8"/>
        <v>0</v>
      </c>
      <c r="G184" s="505">
        <v>300000</v>
      </c>
      <c r="H184" s="505">
        <f t="shared" si="9"/>
        <v>300</v>
      </c>
      <c r="I184" s="505">
        <v>300000</v>
      </c>
      <c r="J184" s="505">
        <f t="shared" si="10"/>
        <v>300</v>
      </c>
      <c r="K184" s="506">
        <f t="shared" si="11"/>
        <v>1</v>
      </c>
    </row>
    <row r="185" spans="1:11" ht="21.9" customHeight="1">
      <c r="A185" s="509" t="s">
        <v>3238</v>
      </c>
      <c r="B185" s="493" t="s">
        <v>3239</v>
      </c>
      <c r="C185" s="493" t="s">
        <v>3096</v>
      </c>
      <c r="D185" s="493" t="s">
        <v>3097</v>
      </c>
      <c r="E185" s="505">
        <v>0</v>
      </c>
      <c r="F185" s="505">
        <f t="shared" si="8"/>
        <v>0</v>
      </c>
      <c r="G185" s="505">
        <v>10000</v>
      </c>
      <c r="H185" s="505">
        <f t="shared" si="9"/>
        <v>10</v>
      </c>
      <c r="I185" s="505">
        <v>10000</v>
      </c>
      <c r="J185" s="505">
        <f t="shared" si="10"/>
        <v>10</v>
      </c>
      <c r="K185" s="506">
        <f t="shared" si="11"/>
        <v>1</v>
      </c>
    </row>
    <row r="186" spans="1:11" ht="21.9" customHeight="1">
      <c r="A186" s="1154" t="s">
        <v>3240</v>
      </c>
      <c r="B186" s="1155"/>
      <c r="C186" s="1155"/>
      <c r="D186" s="1155"/>
      <c r="E186" s="507">
        <v>270230000</v>
      </c>
      <c r="F186" s="507">
        <f t="shared" si="8"/>
        <v>270230</v>
      </c>
      <c r="G186" s="507">
        <v>340920933.94</v>
      </c>
      <c r="H186" s="507">
        <f t="shared" si="9"/>
        <v>340920.93394000002</v>
      </c>
      <c r="I186" s="507">
        <v>319466782.22000003</v>
      </c>
      <c r="J186" s="507">
        <f t="shared" si="10"/>
        <v>319466.78222000005</v>
      </c>
      <c r="K186" s="508">
        <f t="shared" si="11"/>
        <v>0.93707000778140603</v>
      </c>
    </row>
    <row r="187" spans="1:11" ht="21.9" customHeight="1">
      <c r="A187" s="1145" t="s">
        <v>1401</v>
      </c>
      <c r="B187" s="1146"/>
      <c r="C187" s="1146"/>
      <c r="D187" s="1146"/>
      <c r="E187" s="1146"/>
      <c r="F187" s="1146"/>
      <c r="G187" s="1146"/>
      <c r="H187" s="1146"/>
      <c r="I187" s="1146"/>
      <c r="J187" s="1146"/>
      <c r="K187" s="1147"/>
    </row>
    <row r="188" spans="1:11" ht="21.9" customHeight="1">
      <c r="A188" s="1136" t="s">
        <v>1158</v>
      </c>
      <c r="B188" s="1130" t="s">
        <v>3182</v>
      </c>
      <c r="C188" s="493" t="s">
        <v>3074</v>
      </c>
      <c r="D188" s="493" t="s">
        <v>3075</v>
      </c>
      <c r="E188" s="505">
        <v>0</v>
      </c>
      <c r="F188" s="505">
        <f t="shared" si="8"/>
        <v>0</v>
      </c>
      <c r="G188" s="505">
        <v>345000</v>
      </c>
      <c r="H188" s="505">
        <f t="shared" si="9"/>
        <v>345</v>
      </c>
      <c r="I188" s="505">
        <v>345000</v>
      </c>
      <c r="J188" s="505">
        <f t="shared" si="10"/>
        <v>345</v>
      </c>
      <c r="K188" s="506">
        <f t="shared" si="11"/>
        <v>1</v>
      </c>
    </row>
    <row r="189" spans="1:11" ht="21.9" customHeight="1">
      <c r="A189" s="1136"/>
      <c r="B189" s="1130"/>
      <c r="C189" s="493" t="s">
        <v>3102</v>
      </c>
      <c r="D189" s="493" t="s">
        <v>1485</v>
      </c>
      <c r="E189" s="505">
        <v>3000000</v>
      </c>
      <c r="F189" s="505">
        <f t="shared" si="8"/>
        <v>3000</v>
      </c>
      <c r="G189" s="505">
        <v>146000</v>
      </c>
      <c r="H189" s="505">
        <f t="shared" si="9"/>
        <v>146</v>
      </c>
      <c r="I189" s="505">
        <v>119600</v>
      </c>
      <c r="J189" s="505">
        <f t="shared" si="10"/>
        <v>119.6</v>
      </c>
      <c r="K189" s="506">
        <f t="shared" si="11"/>
        <v>0.81917808219178079</v>
      </c>
    </row>
    <row r="190" spans="1:11" ht="21.9" customHeight="1">
      <c r="A190" s="1136" t="s">
        <v>1162</v>
      </c>
      <c r="B190" s="1130" t="s">
        <v>3091</v>
      </c>
      <c r="C190" s="493" t="s">
        <v>3092</v>
      </c>
      <c r="D190" s="493" t="s">
        <v>3093</v>
      </c>
      <c r="E190" s="505">
        <v>0</v>
      </c>
      <c r="F190" s="505">
        <f t="shared" si="8"/>
        <v>0</v>
      </c>
      <c r="G190" s="505">
        <v>56930</v>
      </c>
      <c r="H190" s="505">
        <f t="shared" si="9"/>
        <v>56.93</v>
      </c>
      <c r="I190" s="505">
        <v>39786</v>
      </c>
      <c r="J190" s="505">
        <f t="shared" si="10"/>
        <v>39.786000000000001</v>
      </c>
      <c r="K190" s="506">
        <f t="shared" si="11"/>
        <v>0.69885824696996313</v>
      </c>
    </row>
    <row r="191" spans="1:11" ht="21.9" customHeight="1">
      <c r="A191" s="1136"/>
      <c r="B191" s="1130"/>
      <c r="C191" s="493" t="s">
        <v>3074</v>
      </c>
      <c r="D191" s="493" t="s">
        <v>3075</v>
      </c>
      <c r="E191" s="505">
        <v>0</v>
      </c>
      <c r="F191" s="505">
        <f t="shared" si="8"/>
        <v>0</v>
      </c>
      <c r="G191" s="505">
        <v>202919</v>
      </c>
      <c r="H191" s="505">
        <f t="shared" si="9"/>
        <v>202.91900000000001</v>
      </c>
      <c r="I191" s="505">
        <v>177919</v>
      </c>
      <c r="J191" s="505">
        <f t="shared" si="10"/>
        <v>177.91900000000001</v>
      </c>
      <c r="K191" s="506">
        <f t="shared" si="11"/>
        <v>0.87679813127405515</v>
      </c>
    </row>
    <row r="192" spans="1:11" ht="21.9" customHeight="1">
      <c r="A192" s="1136"/>
      <c r="B192" s="1130"/>
      <c r="C192" s="493" t="s">
        <v>3086</v>
      </c>
      <c r="D192" s="493" t="s">
        <v>3087</v>
      </c>
      <c r="E192" s="505">
        <v>0</v>
      </c>
      <c r="F192" s="505">
        <f t="shared" si="8"/>
        <v>0</v>
      </c>
      <c r="G192" s="505">
        <v>1900</v>
      </c>
      <c r="H192" s="505">
        <f t="shared" si="9"/>
        <v>1.9</v>
      </c>
      <c r="I192" s="505">
        <v>1900</v>
      </c>
      <c r="J192" s="505">
        <f t="shared" si="10"/>
        <v>1.9</v>
      </c>
      <c r="K192" s="506">
        <f t="shared" si="11"/>
        <v>1</v>
      </c>
    </row>
    <row r="193" spans="1:11" ht="21.9" customHeight="1">
      <c r="A193" s="1136"/>
      <c r="B193" s="1130"/>
      <c r="C193" s="493" t="s">
        <v>3241</v>
      </c>
      <c r="D193" s="493" t="s">
        <v>3242</v>
      </c>
      <c r="E193" s="505">
        <v>12600000</v>
      </c>
      <c r="F193" s="505">
        <f t="shared" si="8"/>
        <v>12600</v>
      </c>
      <c r="G193" s="505">
        <v>27511118</v>
      </c>
      <c r="H193" s="505">
        <f t="shared" si="9"/>
        <v>27511.117999999999</v>
      </c>
      <c r="I193" s="505">
        <v>16976608.899999999</v>
      </c>
      <c r="J193" s="505">
        <f t="shared" si="10"/>
        <v>16976.608899999999</v>
      </c>
      <c r="K193" s="506">
        <f t="shared" si="11"/>
        <v>0.61708175218469852</v>
      </c>
    </row>
    <row r="194" spans="1:11" ht="21.9" customHeight="1">
      <c r="A194" s="1136" t="s">
        <v>3243</v>
      </c>
      <c r="B194" s="1130" t="s">
        <v>3244</v>
      </c>
      <c r="C194" s="493" t="s">
        <v>3092</v>
      </c>
      <c r="D194" s="493" t="s">
        <v>3093</v>
      </c>
      <c r="E194" s="505">
        <v>0</v>
      </c>
      <c r="F194" s="505">
        <f t="shared" si="8"/>
        <v>0</v>
      </c>
      <c r="G194" s="505">
        <v>8093</v>
      </c>
      <c r="H194" s="505">
        <f t="shared" si="9"/>
        <v>8.093</v>
      </c>
      <c r="I194" s="505">
        <v>8093</v>
      </c>
      <c r="J194" s="505">
        <f t="shared" si="10"/>
        <v>8.093</v>
      </c>
      <c r="K194" s="506">
        <f t="shared" si="11"/>
        <v>1</v>
      </c>
    </row>
    <row r="195" spans="1:11" ht="21.9" customHeight="1">
      <c r="A195" s="1136"/>
      <c r="B195" s="1130"/>
      <c r="C195" s="493" t="s">
        <v>3074</v>
      </c>
      <c r="D195" s="493" t="s">
        <v>3075</v>
      </c>
      <c r="E195" s="505">
        <v>0</v>
      </c>
      <c r="F195" s="505">
        <f t="shared" si="8"/>
        <v>0</v>
      </c>
      <c r="G195" s="505">
        <v>7002</v>
      </c>
      <c r="H195" s="505">
        <f t="shared" si="9"/>
        <v>7.0019999999999998</v>
      </c>
      <c r="I195" s="505">
        <v>7002</v>
      </c>
      <c r="J195" s="505">
        <f t="shared" si="10"/>
        <v>7.0019999999999998</v>
      </c>
      <c r="K195" s="506">
        <f t="shared" si="11"/>
        <v>1</v>
      </c>
    </row>
    <row r="196" spans="1:11" ht="21.9" customHeight="1">
      <c r="A196" s="1136"/>
      <c r="B196" s="1130"/>
      <c r="C196" s="493" t="s">
        <v>3102</v>
      </c>
      <c r="D196" s="493" t="s">
        <v>1485</v>
      </c>
      <c r="E196" s="505">
        <v>0</v>
      </c>
      <c r="F196" s="505">
        <f t="shared" si="8"/>
        <v>0</v>
      </c>
      <c r="G196" s="505">
        <v>15000000</v>
      </c>
      <c r="H196" s="505">
        <f t="shared" si="9"/>
        <v>15000</v>
      </c>
      <c r="I196" s="505">
        <v>15000000</v>
      </c>
      <c r="J196" s="505">
        <f t="shared" si="10"/>
        <v>15000</v>
      </c>
      <c r="K196" s="506">
        <f t="shared" si="11"/>
        <v>1</v>
      </c>
    </row>
    <row r="197" spans="1:11" ht="21.9" customHeight="1">
      <c r="A197" s="1136" t="s">
        <v>3245</v>
      </c>
      <c r="B197" s="1130" t="s">
        <v>3246</v>
      </c>
      <c r="C197" s="493" t="s">
        <v>3074</v>
      </c>
      <c r="D197" s="493" t="s">
        <v>3075</v>
      </c>
      <c r="E197" s="505">
        <v>0</v>
      </c>
      <c r="F197" s="505">
        <f t="shared" si="8"/>
        <v>0</v>
      </c>
      <c r="G197" s="505">
        <v>6000</v>
      </c>
      <c r="H197" s="505">
        <f t="shared" si="9"/>
        <v>6</v>
      </c>
      <c r="I197" s="505">
        <v>0</v>
      </c>
      <c r="J197" s="505">
        <f t="shared" si="10"/>
        <v>0</v>
      </c>
      <c r="K197" s="506">
        <f t="shared" si="11"/>
        <v>0</v>
      </c>
    </row>
    <row r="198" spans="1:11" ht="21.9" customHeight="1">
      <c r="A198" s="1136"/>
      <c r="B198" s="1130"/>
      <c r="C198" s="493" t="s">
        <v>3086</v>
      </c>
      <c r="D198" s="493" t="s">
        <v>3087</v>
      </c>
      <c r="E198" s="505">
        <v>0</v>
      </c>
      <c r="F198" s="505">
        <f t="shared" si="8"/>
        <v>0</v>
      </c>
      <c r="G198" s="505">
        <v>500</v>
      </c>
      <c r="H198" s="505">
        <f t="shared" si="9"/>
        <v>0.5</v>
      </c>
      <c r="I198" s="505">
        <v>500</v>
      </c>
      <c r="J198" s="505">
        <f t="shared" si="10"/>
        <v>0.5</v>
      </c>
      <c r="K198" s="506">
        <f t="shared" si="11"/>
        <v>1</v>
      </c>
    </row>
    <row r="199" spans="1:11" ht="21.9" customHeight="1">
      <c r="A199" s="1136" t="s">
        <v>3247</v>
      </c>
      <c r="B199" s="1130" t="s">
        <v>3248</v>
      </c>
      <c r="C199" s="493" t="s">
        <v>3092</v>
      </c>
      <c r="D199" s="493" t="s">
        <v>3093</v>
      </c>
      <c r="E199" s="505">
        <v>6750000</v>
      </c>
      <c r="F199" s="505">
        <f t="shared" ref="F199:F262" si="12">E199/1000</f>
        <v>6750</v>
      </c>
      <c r="G199" s="505">
        <v>5273716</v>
      </c>
      <c r="H199" s="505">
        <f t="shared" ref="H199:H262" si="13">G199/1000</f>
        <v>5273.7160000000003</v>
      </c>
      <c r="I199" s="505">
        <v>16000</v>
      </c>
      <c r="J199" s="505">
        <f t="shared" ref="J199:J262" si="14">I199/1000</f>
        <v>16</v>
      </c>
      <c r="K199" s="506">
        <f t="shared" ref="K199:K262" si="15">I199/G199</f>
        <v>3.0339138474654304E-3</v>
      </c>
    </row>
    <row r="200" spans="1:11" ht="21.9" customHeight="1">
      <c r="A200" s="1136"/>
      <c r="B200" s="1130"/>
      <c r="C200" s="493" t="s">
        <v>3074</v>
      </c>
      <c r="D200" s="493" t="s">
        <v>3075</v>
      </c>
      <c r="E200" s="505">
        <v>0</v>
      </c>
      <c r="F200" s="505">
        <f t="shared" si="12"/>
        <v>0</v>
      </c>
      <c r="G200" s="505">
        <v>234174</v>
      </c>
      <c r="H200" s="505">
        <f t="shared" si="13"/>
        <v>234.17400000000001</v>
      </c>
      <c r="I200" s="505">
        <v>234174</v>
      </c>
      <c r="J200" s="505">
        <f t="shared" si="14"/>
        <v>234.17400000000001</v>
      </c>
      <c r="K200" s="506">
        <f t="shared" si="15"/>
        <v>1</v>
      </c>
    </row>
    <row r="201" spans="1:11" ht="21.9" customHeight="1">
      <c r="A201" s="1136"/>
      <c r="B201" s="1130"/>
      <c r="C201" s="493" t="s">
        <v>3086</v>
      </c>
      <c r="D201" s="493" t="s">
        <v>3087</v>
      </c>
      <c r="E201" s="505">
        <v>0</v>
      </c>
      <c r="F201" s="505">
        <f t="shared" si="12"/>
        <v>0</v>
      </c>
      <c r="G201" s="505">
        <v>500</v>
      </c>
      <c r="H201" s="505">
        <f t="shared" si="13"/>
        <v>0.5</v>
      </c>
      <c r="I201" s="505">
        <v>500</v>
      </c>
      <c r="J201" s="505">
        <f t="shared" si="14"/>
        <v>0.5</v>
      </c>
      <c r="K201" s="506">
        <f t="shared" si="15"/>
        <v>1</v>
      </c>
    </row>
    <row r="202" spans="1:11" ht="21.9" customHeight="1">
      <c r="A202" s="1136"/>
      <c r="B202" s="1130"/>
      <c r="C202" s="493" t="s">
        <v>3241</v>
      </c>
      <c r="D202" s="493" t="s">
        <v>3242</v>
      </c>
      <c r="E202" s="505">
        <v>0</v>
      </c>
      <c r="F202" s="505">
        <f t="shared" si="12"/>
        <v>0</v>
      </c>
      <c r="G202" s="505">
        <v>9900</v>
      </c>
      <c r="H202" s="505">
        <f t="shared" si="13"/>
        <v>9.9</v>
      </c>
      <c r="I202" s="505">
        <v>9900</v>
      </c>
      <c r="J202" s="505">
        <f t="shared" si="14"/>
        <v>9.9</v>
      </c>
      <c r="K202" s="506">
        <f t="shared" si="15"/>
        <v>1</v>
      </c>
    </row>
    <row r="203" spans="1:11" ht="21.9" customHeight="1">
      <c r="A203" s="1136" t="s">
        <v>3249</v>
      </c>
      <c r="B203" s="1130" t="s">
        <v>3250</v>
      </c>
      <c r="C203" s="493" t="s">
        <v>3074</v>
      </c>
      <c r="D203" s="493" t="s">
        <v>3075</v>
      </c>
      <c r="E203" s="505">
        <v>0</v>
      </c>
      <c r="F203" s="505">
        <f t="shared" si="12"/>
        <v>0</v>
      </c>
      <c r="G203" s="505">
        <v>129116</v>
      </c>
      <c r="H203" s="505">
        <f t="shared" si="13"/>
        <v>129.11600000000001</v>
      </c>
      <c r="I203" s="505">
        <v>121716</v>
      </c>
      <c r="J203" s="505">
        <f t="shared" si="14"/>
        <v>121.71599999999999</v>
      </c>
      <c r="K203" s="506">
        <f t="shared" si="15"/>
        <v>0.94268719600978967</v>
      </c>
    </row>
    <row r="204" spans="1:11" ht="21.9" customHeight="1">
      <c r="A204" s="1136"/>
      <c r="B204" s="1130"/>
      <c r="C204" s="493" t="s">
        <v>3241</v>
      </c>
      <c r="D204" s="493" t="s">
        <v>3242</v>
      </c>
      <c r="E204" s="505">
        <v>0</v>
      </c>
      <c r="F204" s="505">
        <f t="shared" si="12"/>
        <v>0</v>
      </c>
      <c r="G204" s="505">
        <v>353916</v>
      </c>
      <c r="H204" s="505">
        <f t="shared" si="13"/>
        <v>353.916</v>
      </c>
      <c r="I204" s="505">
        <v>353916</v>
      </c>
      <c r="J204" s="505">
        <f t="shared" si="14"/>
        <v>353.916</v>
      </c>
      <c r="K204" s="506">
        <f t="shared" si="15"/>
        <v>1</v>
      </c>
    </row>
    <row r="205" spans="1:11" ht="21.9" customHeight="1">
      <c r="A205" s="509" t="s">
        <v>3220</v>
      </c>
      <c r="B205" s="493" t="s">
        <v>3221</v>
      </c>
      <c r="C205" s="493" t="s">
        <v>3102</v>
      </c>
      <c r="D205" s="493" t="s">
        <v>1485</v>
      </c>
      <c r="E205" s="505">
        <v>20000000</v>
      </c>
      <c r="F205" s="505">
        <f t="shared" si="12"/>
        <v>20000</v>
      </c>
      <c r="G205" s="505">
        <v>9553476</v>
      </c>
      <c r="H205" s="505">
        <f t="shared" si="13"/>
        <v>9553.4760000000006</v>
      </c>
      <c r="I205" s="505">
        <v>7546169</v>
      </c>
      <c r="J205" s="505">
        <f t="shared" si="14"/>
        <v>7546.1689999999999</v>
      </c>
      <c r="K205" s="506">
        <f t="shared" si="15"/>
        <v>0.7898872619766879</v>
      </c>
    </row>
    <row r="206" spans="1:11" ht="21.9" customHeight="1">
      <c r="A206" s="1136" t="s">
        <v>3251</v>
      </c>
      <c r="B206" s="1130" t="s">
        <v>3252</v>
      </c>
      <c r="C206" s="493" t="s">
        <v>3092</v>
      </c>
      <c r="D206" s="493" t="s">
        <v>3093</v>
      </c>
      <c r="E206" s="505">
        <v>0</v>
      </c>
      <c r="F206" s="505">
        <f t="shared" si="12"/>
        <v>0</v>
      </c>
      <c r="G206" s="505">
        <v>34100</v>
      </c>
      <c r="H206" s="505">
        <f t="shared" si="13"/>
        <v>34.1</v>
      </c>
      <c r="I206" s="505">
        <v>30500</v>
      </c>
      <c r="J206" s="505">
        <f t="shared" si="14"/>
        <v>30.5</v>
      </c>
      <c r="K206" s="506">
        <f t="shared" si="15"/>
        <v>0.8944281524926686</v>
      </c>
    </row>
    <row r="207" spans="1:11" ht="21.9" customHeight="1">
      <c r="A207" s="1136"/>
      <c r="B207" s="1130"/>
      <c r="C207" s="493" t="s">
        <v>3074</v>
      </c>
      <c r="D207" s="493" t="s">
        <v>3075</v>
      </c>
      <c r="E207" s="505">
        <v>0</v>
      </c>
      <c r="F207" s="505">
        <f t="shared" si="12"/>
        <v>0</v>
      </c>
      <c r="G207" s="505">
        <v>447510</v>
      </c>
      <c r="H207" s="505">
        <f t="shared" si="13"/>
        <v>447.51</v>
      </c>
      <c r="I207" s="505">
        <v>447510</v>
      </c>
      <c r="J207" s="505">
        <f t="shared" si="14"/>
        <v>447.51</v>
      </c>
      <c r="K207" s="506">
        <f t="shared" si="15"/>
        <v>1</v>
      </c>
    </row>
    <row r="208" spans="1:11" ht="21.9" customHeight="1">
      <c r="A208" s="1136"/>
      <c r="B208" s="1130"/>
      <c r="C208" s="493" t="s">
        <v>3102</v>
      </c>
      <c r="D208" s="493" t="s">
        <v>1485</v>
      </c>
      <c r="E208" s="505">
        <v>646822000</v>
      </c>
      <c r="F208" s="505">
        <f t="shared" si="12"/>
        <v>646822</v>
      </c>
      <c r="G208" s="505">
        <v>646822000</v>
      </c>
      <c r="H208" s="505">
        <f t="shared" si="13"/>
        <v>646822</v>
      </c>
      <c r="I208" s="505">
        <v>500247236.80000001</v>
      </c>
      <c r="J208" s="505">
        <f t="shared" si="14"/>
        <v>500247.23680000001</v>
      </c>
      <c r="K208" s="506">
        <f t="shared" si="15"/>
        <v>0.77339242759213511</v>
      </c>
    </row>
    <row r="209" spans="1:11" ht="21.9" customHeight="1">
      <c r="A209" s="1136" t="s">
        <v>3253</v>
      </c>
      <c r="B209" s="1130" t="s">
        <v>3254</v>
      </c>
      <c r="C209" s="493" t="s">
        <v>3074</v>
      </c>
      <c r="D209" s="493" t="s">
        <v>3075</v>
      </c>
      <c r="E209" s="505">
        <v>0</v>
      </c>
      <c r="F209" s="505">
        <f t="shared" si="12"/>
        <v>0</v>
      </c>
      <c r="G209" s="505">
        <v>21940</v>
      </c>
      <c r="H209" s="505">
        <f t="shared" si="13"/>
        <v>21.94</v>
      </c>
      <c r="I209" s="505">
        <v>21940</v>
      </c>
      <c r="J209" s="505">
        <f t="shared" si="14"/>
        <v>21.94</v>
      </c>
      <c r="K209" s="506">
        <f t="shared" si="15"/>
        <v>1</v>
      </c>
    </row>
    <row r="210" spans="1:11" ht="21.9" customHeight="1">
      <c r="A210" s="1136"/>
      <c r="B210" s="1130"/>
      <c r="C210" s="493" t="s">
        <v>3102</v>
      </c>
      <c r="D210" s="493" t="s">
        <v>1485</v>
      </c>
      <c r="E210" s="505">
        <v>5000000</v>
      </c>
      <c r="F210" s="505">
        <f t="shared" si="12"/>
        <v>5000</v>
      </c>
      <c r="G210" s="505">
        <v>1000000</v>
      </c>
      <c r="H210" s="505">
        <f t="shared" si="13"/>
        <v>1000</v>
      </c>
      <c r="I210" s="505">
        <v>669600</v>
      </c>
      <c r="J210" s="505">
        <f t="shared" si="14"/>
        <v>669.6</v>
      </c>
      <c r="K210" s="506">
        <f t="shared" si="15"/>
        <v>0.66959999999999997</v>
      </c>
    </row>
    <row r="211" spans="1:11" ht="21.9" customHeight="1">
      <c r="A211" s="1136" t="s">
        <v>3255</v>
      </c>
      <c r="B211" s="1130" t="s">
        <v>3256</v>
      </c>
      <c r="C211" s="493" t="s">
        <v>3092</v>
      </c>
      <c r="D211" s="493" t="s">
        <v>3093</v>
      </c>
      <c r="E211" s="505">
        <v>0</v>
      </c>
      <c r="F211" s="505">
        <f t="shared" si="12"/>
        <v>0</v>
      </c>
      <c r="G211" s="505">
        <v>160000</v>
      </c>
      <c r="H211" s="505">
        <f t="shared" si="13"/>
        <v>160</v>
      </c>
      <c r="I211" s="505">
        <v>160000</v>
      </c>
      <c r="J211" s="505">
        <f t="shared" si="14"/>
        <v>160</v>
      </c>
      <c r="K211" s="506">
        <f t="shared" si="15"/>
        <v>1</v>
      </c>
    </row>
    <row r="212" spans="1:11" ht="21.9" customHeight="1">
      <c r="A212" s="1136"/>
      <c r="B212" s="1130"/>
      <c r="C212" s="493" t="s">
        <v>3074</v>
      </c>
      <c r="D212" s="493" t="s">
        <v>3075</v>
      </c>
      <c r="E212" s="505">
        <v>0</v>
      </c>
      <c r="F212" s="505">
        <f t="shared" si="12"/>
        <v>0</v>
      </c>
      <c r="G212" s="505">
        <v>7000</v>
      </c>
      <c r="H212" s="505">
        <f t="shared" si="13"/>
        <v>7</v>
      </c>
      <c r="I212" s="505">
        <v>6600</v>
      </c>
      <c r="J212" s="505">
        <f t="shared" si="14"/>
        <v>6.6</v>
      </c>
      <c r="K212" s="506">
        <f t="shared" si="15"/>
        <v>0.94285714285714284</v>
      </c>
    </row>
    <row r="213" spans="1:11" ht="21.9" customHeight="1">
      <c r="A213" s="1136" t="s">
        <v>3130</v>
      </c>
      <c r="B213" s="1130" t="s">
        <v>3131</v>
      </c>
      <c r="C213" s="493" t="s">
        <v>3092</v>
      </c>
      <c r="D213" s="493" t="s">
        <v>3093</v>
      </c>
      <c r="E213" s="505">
        <v>0</v>
      </c>
      <c r="F213" s="505">
        <f t="shared" si="12"/>
        <v>0</v>
      </c>
      <c r="G213" s="505">
        <v>30000</v>
      </c>
      <c r="H213" s="505">
        <f t="shared" si="13"/>
        <v>30</v>
      </c>
      <c r="I213" s="505">
        <v>30000</v>
      </c>
      <c r="J213" s="505">
        <f t="shared" si="14"/>
        <v>30</v>
      </c>
      <c r="K213" s="506">
        <f t="shared" si="15"/>
        <v>1</v>
      </c>
    </row>
    <row r="214" spans="1:11" ht="21.9" customHeight="1">
      <c r="A214" s="1136"/>
      <c r="B214" s="1130"/>
      <c r="C214" s="493" t="s">
        <v>3086</v>
      </c>
      <c r="D214" s="493" t="s">
        <v>3087</v>
      </c>
      <c r="E214" s="505">
        <v>500000</v>
      </c>
      <c r="F214" s="505">
        <f t="shared" si="12"/>
        <v>500</v>
      </c>
      <c r="G214" s="505">
        <v>1197100</v>
      </c>
      <c r="H214" s="505">
        <f t="shared" si="13"/>
        <v>1197.0999999999999</v>
      </c>
      <c r="I214" s="505">
        <v>853079</v>
      </c>
      <c r="J214" s="505">
        <f t="shared" si="14"/>
        <v>853.07899999999995</v>
      </c>
      <c r="K214" s="506">
        <f t="shared" si="15"/>
        <v>0.71262133489265722</v>
      </c>
    </row>
    <row r="215" spans="1:11" ht="21.9" customHeight="1">
      <c r="A215" s="1136" t="s">
        <v>3257</v>
      </c>
      <c r="B215" s="1130" t="s">
        <v>3258</v>
      </c>
      <c r="C215" s="493" t="s">
        <v>3092</v>
      </c>
      <c r="D215" s="493" t="s">
        <v>3093</v>
      </c>
      <c r="E215" s="505">
        <v>0</v>
      </c>
      <c r="F215" s="505">
        <f t="shared" si="12"/>
        <v>0</v>
      </c>
      <c r="G215" s="505">
        <v>131500</v>
      </c>
      <c r="H215" s="505">
        <f t="shared" si="13"/>
        <v>131.5</v>
      </c>
      <c r="I215" s="505">
        <v>61500</v>
      </c>
      <c r="J215" s="505">
        <f t="shared" si="14"/>
        <v>61.5</v>
      </c>
      <c r="K215" s="506">
        <f t="shared" si="15"/>
        <v>0.46768060836501901</v>
      </c>
    </row>
    <row r="216" spans="1:11" ht="21.9" customHeight="1">
      <c r="A216" s="1136"/>
      <c r="B216" s="1130"/>
      <c r="C216" s="493" t="s">
        <v>3241</v>
      </c>
      <c r="D216" s="493" t="s">
        <v>3242</v>
      </c>
      <c r="E216" s="505">
        <v>0</v>
      </c>
      <c r="F216" s="505">
        <f t="shared" si="12"/>
        <v>0</v>
      </c>
      <c r="G216" s="505">
        <v>6000</v>
      </c>
      <c r="H216" s="505">
        <f t="shared" si="13"/>
        <v>6</v>
      </c>
      <c r="I216" s="505">
        <v>6000</v>
      </c>
      <c r="J216" s="505">
        <f t="shared" si="14"/>
        <v>6</v>
      </c>
      <c r="K216" s="506">
        <f t="shared" si="15"/>
        <v>1</v>
      </c>
    </row>
    <row r="217" spans="1:11" ht="21.9" customHeight="1">
      <c r="A217" s="1136" t="s">
        <v>3259</v>
      </c>
      <c r="B217" s="1130" t="s">
        <v>3260</v>
      </c>
      <c r="C217" s="493" t="s">
        <v>3096</v>
      </c>
      <c r="D217" s="493" t="s">
        <v>3097</v>
      </c>
      <c r="E217" s="505">
        <v>6000000</v>
      </c>
      <c r="F217" s="505">
        <f t="shared" si="12"/>
        <v>6000</v>
      </c>
      <c r="G217" s="505">
        <v>6000000</v>
      </c>
      <c r="H217" s="505">
        <f t="shared" si="13"/>
        <v>6000</v>
      </c>
      <c r="I217" s="505">
        <v>6000000</v>
      </c>
      <c r="J217" s="505">
        <f t="shared" si="14"/>
        <v>6000</v>
      </c>
      <c r="K217" s="506">
        <f t="shared" si="15"/>
        <v>1</v>
      </c>
    </row>
    <row r="218" spans="1:11" ht="21.9" customHeight="1">
      <c r="A218" s="1136"/>
      <c r="B218" s="1130"/>
      <c r="C218" s="493" t="s">
        <v>3103</v>
      </c>
      <c r="D218" s="493" t="s">
        <v>3104</v>
      </c>
      <c r="E218" s="505">
        <v>0</v>
      </c>
      <c r="F218" s="505">
        <f t="shared" si="12"/>
        <v>0</v>
      </c>
      <c r="G218" s="505">
        <v>903550</v>
      </c>
      <c r="H218" s="505">
        <f t="shared" si="13"/>
        <v>903.55</v>
      </c>
      <c r="I218" s="505">
        <v>903550</v>
      </c>
      <c r="J218" s="505">
        <f t="shared" si="14"/>
        <v>903.55</v>
      </c>
      <c r="K218" s="506">
        <f t="shared" si="15"/>
        <v>1</v>
      </c>
    </row>
    <row r="219" spans="1:11" ht="21.9" customHeight="1">
      <c r="A219" s="509" t="s">
        <v>3261</v>
      </c>
      <c r="B219" s="493" t="s">
        <v>3262</v>
      </c>
      <c r="C219" s="493" t="s">
        <v>3154</v>
      </c>
      <c r="D219" s="493" t="s">
        <v>3155</v>
      </c>
      <c r="E219" s="505">
        <v>13000000</v>
      </c>
      <c r="F219" s="505">
        <f t="shared" si="12"/>
        <v>13000</v>
      </c>
      <c r="G219" s="505">
        <v>13000000</v>
      </c>
      <c r="H219" s="505">
        <f t="shared" si="13"/>
        <v>13000</v>
      </c>
      <c r="I219" s="505">
        <v>11827427</v>
      </c>
      <c r="J219" s="505">
        <f t="shared" si="14"/>
        <v>11827.427</v>
      </c>
      <c r="K219" s="506">
        <f t="shared" si="15"/>
        <v>0.90980207692307691</v>
      </c>
    </row>
    <row r="220" spans="1:11" ht="21.9" customHeight="1">
      <c r="A220" s="509" t="s">
        <v>3263</v>
      </c>
      <c r="B220" s="493" t="s">
        <v>3264</v>
      </c>
      <c r="C220" s="493" t="s">
        <v>3102</v>
      </c>
      <c r="D220" s="493" t="s">
        <v>1485</v>
      </c>
      <c r="E220" s="505">
        <v>17000000</v>
      </c>
      <c r="F220" s="505">
        <f t="shared" si="12"/>
        <v>17000</v>
      </c>
      <c r="G220" s="505">
        <v>5661954.6000000006</v>
      </c>
      <c r="H220" s="505">
        <f t="shared" si="13"/>
        <v>5661.9546000000009</v>
      </c>
      <c r="I220" s="505">
        <v>0</v>
      </c>
      <c r="J220" s="505">
        <f t="shared" si="14"/>
        <v>0</v>
      </c>
      <c r="K220" s="506">
        <f t="shared" si="15"/>
        <v>0</v>
      </c>
    </row>
    <row r="221" spans="1:11" ht="21.9" customHeight="1">
      <c r="A221" s="1137" t="s">
        <v>3265</v>
      </c>
      <c r="B221" s="1152"/>
      <c r="C221" s="1152"/>
      <c r="D221" s="1152"/>
      <c r="E221" s="507">
        <v>730672000</v>
      </c>
      <c r="F221" s="507">
        <f t="shared" si="12"/>
        <v>730672</v>
      </c>
      <c r="G221" s="507">
        <v>734262914.60000002</v>
      </c>
      <c r="H221" s="507">
        <f t="shared" si="13"/>
        <v>734262.91460000002</v>
      </c>
      <c r="I221" s="507">
        <v>562223726.70000005</v>
      </c>
      <c r="J221" s="507">
        <f t="shared" si="14"/>
        <v>562223.7267</v>
      </c>
      <c r="K221" s="508">
        <f t="shared" si="15"/>
        <v>0.76569811101828456</v>
      </c>
    </row>
    <row r="222" spans="1:11" ht="21.9" customHeight="1">
      <c r="A222" s="1145" t="s">
        <v>1416</v>
      </c>
      <c r="B222" s="1146"/>
      <c r="C222" s="1146"/>
      <c r="D222" s="1146"/>
      <c r="E222" s="1146"/>
      <c r="F222" s="1146"/>
      <c r="G222" s="1146"/>
      <c r="H222" s="1146"/>
      <c r="I222" s="1146"/>
      <c r="J222" s="1146"/>
      <c r="K222" s="1147"/>
    </row>
    <row r="223" spans="1:11" ht="21.9" customHeight="1">
      <c r="A223" s="509" t="s">
        <v>3226</v>
      </c>
      <c r="B223" s="493" t="s">
        <v>3227</v>
      </c>
      <c r="C223" s="493" t="s">
        <v>3124</v>
      </c>
      <c r="D223" s="493" t="s">
        <v>3125</v>
      </c>
      <c r="E223" s="505">
        <v>0</v>
      </c>
      <c r="F223" s="505">
        <f t="shared" si="12"/>
        <v>0</v>
      </c>
      <c r="G223" s="505">
        <v>150000</v>
      </c>
      <c r="H223" s="505">
        <f t="shared" si="13"/>
        <v>150</v>
      </c>
      <c r="I223" s="505">
        <v>150000</v>
      </c>
      <c r="J223" s="505">
        <f t="shared" si="14"/>
        <v>150</v>
      </c>
      <c r="K223" s="506">
        <f t="shared" si="15"/>
        <v>1</v>
      </c>
    </row>
    <row r="224" spans="1:11" ht="21.9" customHeight="1">
      <c r="A224" s="509" t="s">
        <v>3228</v>
      </c>
      <c r="B224" s="493" t="s">
        <v>3229</v>
      </c>
      <c r="C224" s="493" t="s">
        <v>3124</v>
      </c>
      <c r="D224" s="493" t="s">
        <v>3125</v>
      </c>
      <c r="E224" s="505">
        <v>0</v>
      </c>
      <c r="F224" s="505">
        <f t="shared" si="12"/>
        <v>0</v>
      </c>
      <c r="G224" s="505">
        <v>100000</v>
      </c>
      <c r="H224" s="505">
        <f t="shared" si="13"/>
        <v>100</v>
      </c>
      <c r="I224" s="505">
        <v>100000</v>
      </c>
      <c r="J224" s="505">
        <f t="shared" si="14"/>
        <v>100</v>
      </c>
      <c r="K224" s="506">
        <f t="shared" si="15"/>
        <v>1</v>
      </c>
    </row>
    <row r="225" spans="1:11" ht="21.9" customHeight="1">
      <c r="A225" s="509" t="s">
        <v>3234</v>
      </c>
      <c r="B225" s="493" t="s">
        <v>3235</v>
      </c>
      <c r="C225" s="493" t="s">
        <v>3124</v>
      </c>
      <c r="D225" s="493" t="s">
        <v>3125</v>
      </c>
      <c r="E225" s="505">
        <v>0</v>
      </c>
      <c r="F225" s="505">
        <f t="shared" si="12"/>
        <v>0</v>
      </c>
      <c r="G225" s="505">
        <v>200000</v>
      </c>
      <c r="H225" s="505">
        <f t="shared" si="13"/>
        <v>200</v>
      </c>
      <c r="I225" s="505">
        <v>200000</v>
      </c>
      <c r="J225" s="505">
        <f t="shared" si="14"/>
        <v>200</v>
      </c>
      <c r="K225" s="506">
        <f t="shared" si="15"/>
        <v>1</v>
      </c>
    </row>
    <row r="226" spans="1:11" ht="21.9" customHeight="1">
      <c r="A226" s="1136" t="s">
        <v>3266</v>
      </c>
      <c r="B226" s="1130" t="s">
        <v>3267</v>
      </c>
      <c r="C226" s="493" t="s">
        <v>3185</v>
      </c>
      <c r="D226" s="493" t="s">
        <v>3186</v>
      </c>
      <c r="E226" s="505">
        <v>0</v>
      </c>
      <c r="F226" s="505">
        <f t="shared" si="12"/>
        <v>0</v>
      </c>
      <c r="G226" s="505">
        <v>100000</v>
      </c>
      <c r="H226" s="505">
        <f t="shared" si="13"/>
        <v>100</v>
      </c>
      <c r="I226" s="505">
        <v>100000</v>
      </c>
      <c r="J226" s="505">
        <f t="shared" si="14"/>
        <v>100</v>
      </c>
      <c r="K226" s="506">
        <f t="shared" si="15"/>
        <v>1</v>
      </c>
    </row>
    <row r="227" spans="1:11" ht="21.9" customHeight="1">
      <c r="A227" s="1136"/>
      <c r="B227" s="1130"/>
      <c r="C227" s="493" t="s">
        <v>3124</v>
      </c>
      <c r="D227" s="493" t="s">
        <v>3125</v>
      </c>
      <c r="E227" s="505">
        <v>0</v>
      </c>
      <c r="F227" s="505">
        <f t="shared" si="12"/>
        <v>0</v>
      </c>
      <c r="G227" s="505">
        <v>300000</v>
      </c>
      <c r="H227" s="505">
        <f t="shared" si="13"/>
        <v>300</v>
      </c>
      <c r="I227" s="505">
        <v>300000</v>
      </c>
      <c r="J227" s="505">
        <f t="shared" si="14"/>
        <v>300</v>
      </c>
      <c r="K227" s="506">
        <f t="shared" si="15"/>
        <v>1</v>
      </c>
    </row>
    <row r="228" spans="1:11" ht="21.9" customHeight="1">
      <c r="A228" s="509" t="s">
        <v>3236</v>
      </c>
      <c r="B228" s="493" t="s">
        <v>3237</v>
      </c>
      <c r="C228" s="493" t="s">
        <v>3124</v>
      </c>
      <c r="D228" s="493" t="s">
        <v>3125</v>
      </c>
      <c r="E228" s="505">
        <v>0</v>
      </c>
      <c r="F228" s="505">
        <f t="shared" si="12"/>
        <v>0</v>
      </c>
      <c r="G228" s="505">
        <v>140000</v>
      </c>
      <c r="H228" s="505">
        <f t="shared" si="13"/>
        <v>140</v>
      </c>
      <c r="I228" s="505">
        <v>140000</v>
      </c>
      <c r="J228" s="505">
        <f t="shared" si="14"/>
        <v>140</v>
      </c>
      <c r="K228" s="506">
        <f t="shared" si="15"/>
        <v>1</v>
      </c>
    </row>
    <row r="229" spans="1:11" ht="21.9" customHeight="1">
      <c r="A229" s="509" t="s">
        <v>3268</v>
      </c>
      <c r="B229" s="493" t="s">
        <v>3269</v>
      </c>
      <c r="C229" s="493" t="s">
        <v>3078</v>
      </c>
      <c r="D229" s="493" t="s">
        <v>3079</v>
      </c>
      <c r="E229" s="505">
        <v>27000000</v>
      </c>
      <c r="F229" s="505">
        <f t="shared" si="12"/>
        <v>27000</v>
      </c>
      <c r="G229" s="505">
        <v>0</v>
      </c>
      <c r="H229" s="505">
        <f t="shared" si="13"/>
        <v>0</v>
      </c>
      <c r="I229" s="505">
        <v>0</v>
      </c>
      <c r="J229" s="505">
        <f t="shared" si="14"/>
        <v>0</v>
      </c>
      <c r="K229" s="510" t="s">
        <v>1147</v>
      </c>
    </row>
    <row r="230" spans="1:11" ht="21.9" customHeight="1">
      <c r="A230" s="509" t="s">
        <v>3270</v>
      </c>
      <c r="B230" s="493" t="s">
        <v>3271</v>
      </c>
      <c r="C230" s="493" t="s">
        <v>3212</v>
      </c>
      <c r="D230" s="493" t="s">
        <v>3213</v>
      </c>
      <c r="E230" s="505">
        <v>0</v>
      </c>
      <c r="F230" s="505">
        <f t="shared" si="12"/>
        <v>0</v>
      </c>
      <c r="G230" s="505">
        <v>150000</v>
      </c>
      <c r="H230" s="505">
        <f t="shared" si="13"/>
        <v>150</v>
      </c>
      <c r="I230" s="505">
        <v>150000</v>
      </c>
      <c r="J230" s="505">
        <f t="shared" si="14"/>
        <v>150</v>
      </c>
      <c r="K230" s="506">
        <f t="shared" si="15"/>
        <v>1</v>
      </c>
    </row>
    <row r="231" spans="1:11" ht="21.9" customHeight="1">
      <c r="A231" s="509" t="s">
        <v>3272</v>
      </c>
      <c r="B231" s="493" t="s">
        <v>3273</v>
      </c>
      <c r="C231" s="493" t="s">
        <v>3124</v>
      </c>
      <c r="D231" s="493" t="s">
        <v>3125</v>
      </c>
      <c r="E231" s="505">
        <v>0</v>
      </c>
      <c r="F231" s="505">
        <f t="shared" si="12"/>
        <v>0</v>
      </c>
      <c r="G231" s="505">
        <v>1000000</v>
      </c>
      <c r="H231" s="505">
        <f t="shared" si="13"/>
        <v>1000</v>
      </c>
      <c r="I231" s="505">
        <v>1000000</v>
      </c>
      <c r="J231" s="505">
        <f t="shared" si="14"/>
        <v>1000</v>
      </c>
      <c r="K231" s="506">
        <f t="shared" si="15"/>
        <v>1</v>
      </c>
    </row>
    <row r="232" spans="1:11" ht="21.9" customHeight="1">
      <c r="A232" s="509" t="s">
        <v>3274</v>
      </c>
      <c r="B232" s="493" t="s">
        <v>3275</v>
      </c>
      <c r="C232" s="493" t="s">
        <v>3124</v>
      </c>
      <c r="D232" s="493" t="s">
        <v>3125</v>
      </c>
      <c r="E232" s="505">
        <v>0</v>
      </c>
      <c r="F232" s="505">
        <f t="shared" si="12"/>
        <v>0</v>
      </c>
      <c r="G232" s="505">
        <v>60000</v>
      </c>
      <c r="H232" s="505">
        <f t="shared" si="13"/>
        <v>60</v>
      </c>
      <c r="I232" s="505">
        <v>60000</v>
      </c>
      <c r="J232" s="505">
        <f t="shared" si="14"/>
        <v>60</v>
      </c>
      <c r="K232" s="506">
        <f t="shared" si="15"/>
        <v>1</v>
      </c>
    </row>
    <row r="233" spans="1:11" ht="21.9" customHeight="1">
      <c r="A233" s="509" t="s">
        <v>3276</v>
      </c>
      <c r="B233" s="493" t="s">
        <v>3277</v>
      </c>
      <c r="C233" s="493" t="s">
        <v>3124</v>
      </c>
      <c r="D233" s="493" t="s">
        <v>3125</v>
      </c>
      <c r="E233" s="505">
        <v>3000</v>
      </c>
      <c r="F233" s="505">
        <f t="shared" si="12"/>
        <v>3</v>
      </c>
      <c r="G233" s="505">
        <v>3000</v>
      </c>
      <c r="H233" s="505">
        <f t="shared" si="13"/>
        <v>3</v>
      </c>
      <c r="I233" s="505">
        <v>3000</v>
      </c>
      <c r="J233" s="505">
        <f t="shared" si="14"/>
        <v>3</v>
      </c>
      <c r="K233" s="506">
        <f t="shared" si="15"/>
        <v>1</v>
      </c>
    </row>
    <row r="234" spans="1:11" ht="21.9" customHeight="1">
      <c r="A234" s="1136" t="s">
        <v>3278</v>
      </c>
      <c r="B234" s="1130" t="s">
        <v>3279</v>
      </c>
      <c r="C234" s="493" t="s">
        <v>3280</v>
      </c>
      <c r="D234" s="493" t="s">
        <v>3281</v>
      </c>
      <c r="E234" s="505">
        <v>60000000</v>
      </c>
      <c r="F234" s="505">
        <f t="shared" si="12"/>
        <v>60000</v>
      </c>
      <c r="G234" s="505">
        <v>9500000</v>
      </c>
      <c r="H234" s="505">
        <f t="shared" si="13"/>
        <v>9500</v>
      </c>
      <c r="I234" s="505">
        <v>9500000</v>
      </c>
      <c r="J234" s="505">
        <f t="shared" si="14"/>
        <v>9500</v>
      </c>
      <c r="K234" s="506">
        <f t="shared" si="15"/>
        <v>1</v>
      </c>
    </row>
    <row r="235" spans="1:11" ht="21.9" customHeight="1">
      <c r="A235" s="1136"/>
      <c r="B235" s="1130"/>
      <c r="C235" s="493" t="s">
        <v>3282</v>
      </c>
      <c r="D235" s="493" t="s">
        <v>3283</v>
      </c>
      <c r="E235" s="505">
        <v>0</v>
      </c>
      <c r="F235" s="505">
        <f t="shared" si="12"/>
        <v>0</v>
      </c>
      <c r="G235" s="505">
        <v>50500000</v>
      </c>
      <c r="H235" s="505">
        <f t="shared" si="13"/>
        <v>50500</v>
      </c>
      <c r="I235" s="505">
        <v>50500000</v>
      </c>
      <c r="J235" s="505">
        <f t="shared" si="14"/>
        <v>50500</v>
      </c>
      <c r="K235" s="506">
        <f t="shared" si="15"/>
        <v>1</v>
      </c>
    </row>
    <row r="236" spans="1:11" ht="21.9" customHeight="1">
      <c r="A236" s="1136" t="s">
        <v>3284</v>
      </c>
      <c r="B236" s="1130" t="s">
        <v>3285</v>
      </c>
      <c r="C236" s="493" t="s">
        <v>3147</v>
      </c>
      <c r="D236" s="493" t="s">
        <v>1418</v>
      </c>
      <c r="E236" s="505">
        <v>0</v>
      </c>
      <c r="F236" s="505">
        <f t="shared" si="12"/>
        <v>0</v>
      </c>
      <c r="G236" s="505">
        <v>0</v>
      </c>
      <c r="H236" s="505">
        <f t="shared" si="13"/>
        <v>0</v>
      </c>
      <c r="I236" s="505">
        <v>108113.28</v>
      </c>
      <c r="J236" s="505">
        <f t="shared" si="14"/>
        <v>108.11328</v>
      </c>
      <c r="K236" s="510" t="s">
        <v>1147</v>
      </c>
    </row>
    <row r="237" spans="1:11" ht="21.9" customHeight="1">
      <c r="A237" s="1136"/>
      <c r="B237" s="1130"/>
      <c r="C237" s="493" t="s">
        <v>3154</v>
      </c>
      <c r="D237" s="493" t="s">
        <v>3155</v>
      </c>
      <c r="E237" s="505">
        <v>100000</v>
      </c>
      <c r="F237" s="505">
        <f t="shared" si="12"/>
        <v>100</v>
      </c>
      <c r="G237" s="505">
        <v>100000</v>
      </c>
      <c r="H237" s="505">
        <f t="shared" si="13"/>
        <v>100</v>
      </c>
      <c r="I237" s="505">
        <v>74629.490000000005</v>
      </c>
      <c r="J237" s="505">
        <f t="shared" si="14"/>
        <v>74.629490000000004</v>
      </c>
      <c r="K237" s="506">
        <f t="shared" si="15"/>
        <v>0.74629490000000009</v>
      </c>
    </row>
    <row r="238" spans="1:11" ht="21.9" customHeight="1">
      <c r="A238" s="509" t="s">
        <v>3286</v>
      </c>
      <c r="B238" s="493" t="s">
        <v>3287</v>
      </c>
      <c r="C238" s="493" t="s">
        <v>3086</v>
      </c>
      <c r="D238" s="493" t="s">
        <v>3087</v>
      </c>
      <c r="E238" s="505">
        <v>0</v>
      </c>
      <c r="F238" s="505">
        <f t="shared" si="12"/>
        <v>0</v>
      </c>
      <c r="G238" s="505">
        <v>9445401</v>
      </c>
      <c r="H238" s="505">
        <f t="shared" si="13"/>
        <v>9445.4009999999998</v>
      </c>
      <c r="I238" s="505">
        <v>-13544340</v>
      </c>
      <c r="J238" s="505">
        <f t="shared" si="14"/>
        <v>-13544.34</v>
      </c>
      <c r="K238" s="510" t="s">
        <v>1147</v>
      </c>
    </row>
    <row r="239" spans="1:11" ht="32.25" customHeight="1">
      <c r="A239" s="1136" t="s">
        <v>3288</v>
      </c>
      <c r="B239" s="1130" t="s">
        <v>1419</v>
      </c>
      <c r="C239" s="493" t="s">
        <v>3289</v>
      </c>
      <c r="D239" s="493" t="s">
        <v>3290</v>
      </c>
      <c r="E239" s="505">
        <v>0</v>
      </c>
      <c r="F239" s="505">
        <f t="shared" si="12"/>
        <v>0</v>
      </c>
      <c r="G239" s="505">
        <v>41350097.789999999</v>
      </c>
      <c r="H239" s="505">
        <f t="shared" si="13"/>
        <v>41350.09779</v>
      </c>
      <c r="I239" s="505">
        <v>41350097.789999999</v>
      </c>
      <c r="J239" s="505">
        <f t="shared" si="14"/>
        <v>41350.09779</v>
      </c>
      <c r="K239" s="506">
        <f t="shared" si="15"/>
        <v>1</v>
      </c>
    </row>
    <row r="240" spans="1:11" ht="21.9" customHeight="1">
      <c r="A240" s="1136"/>
      <c r="B240" s="1130"/>
      <c r="C240" s="493" t="s">
        <v>3291</v>
      </c>
      <c r="D240" s="493" t="s">
        <v>3292</v>
      </c>
      <c r="E240" s="505">
        <v>0</v>
      </c>
      <c r="F240" s="505">
        <f t="shared" si="12"/>
        <v>0</v>
      </c>
      <c r="G240" s="505">
        <v>1105876.96</v>
      </c>
      <c r="H240" s="505">
        <f t="shared" si="13"/>
        <v>1105.8769600000001</v>
      </c>
      <c r="I240" s="505">
        <v>1105876.96</v>
      </c>
      <c r="J240" s="505">
        <f t="shared" si="14"/>
        <v>1105.8769600000001</v>
      </c>
      <c r="K240" s="506">
        <f t="shared" si="15"/>
        <v>1</v>
      </c>
    </row>
    <row r="241" spans="1:11" ht="21.9" customHeight="1">
      <c r="A241" s="1136" t="s">
        <v>3263</v>
      </c>
      <c r="B241" s="1130" t="s">
        <v>3264</v>
      </c>
      <c r="C241" s="493" t="s">
        <v>3078</v>
      </c>
      <c r="D241" s="493" t="s">
        <v>3079</v>
      </c>
      <c r="E241" s="505">
        <v>700000</v>
      </c>
      <c r="F241" s="505">
        <f t="shared" si="12"/>
        <v>700</v>
      </c>
      <c r="G241" s="505">
        <v>700000</v>
      </c>
      <c r="H241" s="505">
        <f t="shared" si="13"/>
        <v>700</v>
      </c>
      <c r="I241" s="505">
        <v>700000</v>
      </c>
      <c r="J241" s="505">
        <f t="shared" si="14"/>
        <v>700</v>
      </c>
      <c r="K241" s="506">
        <f t="shared" si="15"/>
        <v>1</v>
      </c>
    </row>
    <row r="242" spans="1:11" ht="21.9" customHeight="1">
      <c r="A242" s="1136"/>
      <c r="B242" s="1130"/>
      <c r="C242" s="493" t="s">
        <v>3293</v>
      </c>
      <c r="D242" s="493" t="s">
        <v>3294</v>
      </c>
      <c r="E242" s="505">
        <v>82476000</v>
      </c>
      <c r="F242" s="505">
        <f t="shared" si="12"/>
        <v>82476</v>
      </c>
      <c r="G242" s="505">
        <v>50145646.149999999</v>
      </c>
      <c r="H242" s="505">
        <f t="shared" si="13"/>
        <v>50145.64615</v>
      </c>
      <c r="I242" s="505">
        <v>0</v>
      </c>
      <c r="J242" s="505">
        <f t="shared" si="14"/>
        <v>0</v>
      </c>
      <c r="K242" s="506">
        <f t="shared" si="15"/>
        <v>0</v>
      </c>
    </row>
    <row r="243" spans="1:11" ht="21.9" customHeight="1">
      <c r="A243" s="1136"/>
      <c r="B243" s="1130"/>
      <c r="C243" s="493" t="s">
        <v>3189</v>
      </c>
      <c r="D243" s="493" t="s">
        <v>3190</v>
      </c>
      <c r="E243" s="505">
        <v>0</v>
      </c>
      <c r="F243" s="505">
        <f t="shared" si="12"/>
        <v>0</v>
      </c>
      <c r="G243" s="505">
        <v>0</v>
      </c>
      <c r="H243" s="505">
        <f t="shared" si="13"/>
        <v>0</v>
      </c>
      <c r="I243" s="505">
        <v>101699</v>
      </c>
      <c r="J243" s="505">
        <f t="shared" si="14"/>
        <v>101.699</v>
      </c>
      <c r="K243" s="510" t="s">
        <v>1147</v>
      </c>
    </row>
    <row r="244" spans="1:11" ht="21.9" customHeight="1">
      <c r="A244" s="1136"/>
      <c r="B244" s="1130"/>
      <c r="C244" s="493" t="s">
        <v>3202</v>
      </c>
      <c r="D244" s="493" t="s">
        <v>3203</v>
      </c>
      <c r="E244" s="505">
        <v>564000000</v>
      </c>
      <c r="F244" s="505">
        <f t="shared" si="12"/>
        <v>564000</v>
      </c>
      <c r="G244" s="505">
        <v>103169173.59999999</v>
      </c>
      <c r="H244" s="505">
        <f t="shared" si="13"/>
        <v>103169.17359999999</v>
      </c>
      <c r="I244" s="505">
        <v>0</v>
      </c>
      <c r="J244" s="505">
        <f t="shared" si="14"/>
        <v>0</v>
      </c>
      <c r="K244" s="506">
        <f t="shared" si="15"/>
        <v>0</v>
      </c>
    </row>
    <row r="245" spans="1:11" ht="21.9" customHeight="1">
      <c r="A245" s="1137" t="s">
        <v>3295</v>
      </c>
      <c r="B245" s="1153"/>
      <c r="C245" s="1153"/>
      <c r="D245" s="1153"/>
      <c r="E245" s="507">
        <v>734279000</v>
      </c>
      <c r="F245" s="507">
        <f t="shared" si="12"/>
        <v>734279</v>
      </c>
      <c r="G245" s="507">
        <v>268219195.5</v>
      </c>
      <c r="H245" s="507">
        <f t="shared" si="13"/>
        <v>268219.19549999997</v>
      </c>
      <c r="I245" s="507">
        <v>92099076.519999996</v>
      </c>
      <c r="J245" s="507">
        <f t="shared" si="14"/>
        <v>92099.076520000002</v>
      </c>
      <c r="K245" s="508">
        <f t="shared" si="15"/>
        <v>0.34337242846588134</v>
      </c>
    </row>
    <row r="246" spans="1:11" ht="21.9" customHeight="1">
      <c r="A246" s="1145" t="s">
        <v>1432</v>
      </c>
      <c r="B246" s="1146"/>
      <c r="C246" s="1146"/>
      <c r="D246" s="1146"/>
      <c r="E246" s="1146"/>
      <c r="F246" s="1146"/>
      <c r="G246" s="1146"/>
      <c r="H246" s="1146"/>
      <c r="I246" s="1146"/>
      <c r="J246" s="1146"/>
      <c r="K246" s="1147"/>
    </row>
    <row r="247" spans="1:11" ht="21.9" customHeight="1">
      <c r="A247" s="509" t="s">
        <v>1156</v>
      </c>
      <c r="B247" s="493" t="s">
        <v>3181</v>
      </c>
      <c r="C247" s="493" t="s">
        <v>3082</v>
      </c>
      <c r="D247" s="493" t="s">
        <v>3083</v>
      </c>
      <c r="E247" s="505">
        <v>0</v>
      </c>
      <c r="F247" s="505">
        <f t="shared" si="12"/>
        <v>0</v>
      </c>
      <c r="G247" s="505">
        <v>100000</v>
      </c>
      <c r="H247" s="505">
        <f t="shared" si="13"/>
        <v>100</v>
      </c>
      <c r="I247" s="505">
        <v>100000</v>
      </c>
      <c r="J247" s="505">
        <f t="shared" si="14"/>
        <v>100</v>
      </c>
      <c r="K247" s="506">
        <f t="shared" si="15"/>
        <v>1</v>
      </c>
    </row>
    <row r="248" spans="1:11" ht="21.9" customHeight="1">
      <c r="A248" s="1136" t="s">
        <v>1162</v>
      </c>
      <c r="B248" s="1130" t="s">
        <v>3091</v>
      </c>
      <c r="C248" s="493" t="s">
        <v>3082</v>
      </c>
      <c r="D248" s="493" t="s">
        <v>3083</v>
      </c>
      <c r="E248" s="505">
        <v>0</v>
      </c>
      <c r="F248" s="505">
        <f t="shared" si="12"/>
        <v>0</v>
      </c>
      <c r="G248" s="505">
        <v>8268000</v>
      </c>
      <c r="H248" s="505">
        <f t="shared" si="13"/>
        <v>8268</v>
      </c>
      <c r="I248" s="505">
        <v>8268000</v>
      </c>
      <c r="J248" s="505">
        <f t="shared" si="14"/>
        <v>8268</v>
      </c>
      <c r="K248" s="506">
        <f t="shared" si="15"/>
        <v>1</v>
      </c>
    </row>
    <row r="249" spans="1:11" ht="21.9" customHeight="1">
      <c r="A249" s="1136"/>
      <c r="B249" s="1130"/>
      <c r="C249" s="493" t="s">
        <v>3088</v>
      </c>
      <c r="D249" s="493" t="s">
        <v>3089</v>
      </c>
      <c r="E249" s="505">
        <v>0</v>
      </c>
      <c r="F249" s="505">
        <f t="shared" si="12"/>
        <v>0</v>
      </c>
      <c r="G249" s="505">
        <v>3870000</v>
      </c>
      <c r="H249" s="505">
        <f t="shared" si="13"/>
        <v>3870</v>
      </c>
      <c r="I249" s="505">
        <v>3870000</v>
      </c>
      <c r="J249" s="505">
        <f t="shared" si="14"/>
        <v>3870</v>
      </c>
      <c r="K249" s="506">
        <f t="shared" si="15"/>
        <v>1</v>
      </c>
    </row>
    <row r="250" spans="1:11" ht="21.9" customHeight="1">
      <c r="A250" s="1136" t="s">
        <v>3296</v>
      </c>
      <c r="B250" s="1130" t="s">
        <v>3297</v>
      </c>
      <c r="C250" s="493" t="s">
        <v>3082</v>
      </c>
      <c r="D250" s="493" t="s">
        <v>3083</v>
      </c>
      <c r="E250" s="505">
        <v>0</v>
      </c>
      <c r="F250" s="505">
        <f t="shared" si="12"/>
        <v>0</v>
      </c>
      <c r="G250" s="505">
        <v>680000</v>
      </c>
      <c r="H250" s="505">
        <f t="shared" si="13"/>
        <v>680</v>
      </c>
      <c r="I250" s="505">
        <v>680000</v>
      </c>
      <c r="J250" s="505">
        <f t="shared" si="14"/>
        <v>680</v>
      </c>
      <c r="K250" s="506">
        <f t="shared" si="15"/>
        <v>1</v>
      </c>
    </row>
    <row r="251" spans="1:11" ht="21.9" customHeight="1">
      <c r="A251" s="1136"/>
      <c r="B251" s="1130"/>
      <c r="C251" s="493" t="s">
        <v>3088</v>
      </c>
      <c r="D251" s="493" t="s">
        <v>3089</v>
      </c>
      <c r="E251" s="505">
        <v>0</v>
      </c>
      <c r="F251" s="505">
        <f t="shared" si="12"/>
        <v>0</v>
      </c>
      <c r="G251" s="505">
        <v>2610000</v>
      </c>
      <c r="H251" s="505">
        <f t="shared" si="13"/>
        <v>2610</v>
      </c>
      <c r="I251" s="505">
        <v>2610000</v>
      </c>
      <c r="J251" s="505">
        <f t="shared" si="14"/>
        <v>2610</v>
      </c>
      <c r="K251" s="506">
        <f t="shared" si="15"/>
        <v>1</v>
      </c>
    </row>
    <row r="252" spans="1:11" ht="21.9" customHeight="1">
      <c r="A252" s="1136"/>
      <c r="B252" s="1130"/>
      <c r="C252" s="493" t="s">
        <v>3298</v>
      </c>
      <c r="D252" s="493" t="s">
        <v>3299</v>
      </c>
      <c r="E252" s="505">
        <v>0</v>
      </c>
      <c r="F252" s="505">
        <f t="shared" si="12"/>
        <v>0</v>
      </c>
      <c r="G252" s="505">
        <v>275000</v>
      </c>
      <c r="H252" s="505">
        <f t="shared" si="13"/>
        <v>275</v>
      </c>
      <c r="I252" s="505">
        <v>275000</v>
      </c>
      <c r="J252" s="505">
        <f t="shared" si="14"/>
        <v>275</v>
      </c>
      <c r="K252" s="506">
        <f t="shared" si="15"/>
        <v>1</v>
      </c>
    </row>
    <row r="253" spans="1:11" ht="21.9" customHeight="1">
      <c r="A253" s="509" t="s">
        <v>3105</v>
      </c>
      <c r="B253" s="493" t="s">
        <v>3106</v>
      </c>
      <c r="C253" s="493" t="s">
        <v>3088</v>
      </c>
      <c r="D253" s="493" t="s">
        <v>3089</v>
      </c>
      <c r="E253" s="505">
        <v>0</v>
      </c>
      <c r="F253" s="505">
        <f t="shared" si="12"/>
        <v>0</v>
      </c>
      <c r="G253" s="505">
        <v>130000</v>
      </c>
      <c r="H253" s="505">
        <f t="shared" si="13"/>
        <v>130</v>
      </c>
      <c r="I253" s="505">
        <v>130000</v>
      </c>
      <c r="J253" s="505">
        <f t="shared" si="14"/>
        <v>130</v>
      </c>
      <c r="K253" s="506">
        <f t="shared" si="15"/>
        <v>1</v>
      </c>
    </row>
    <row r="254" spans="1:11" ht="21.9" customHeight="1">
      <c r="A254" s="509" t="s">
        <v>3300</v>
      </c>
      <c r="B254" s="493" t="s">
        <v>3301</v>
      </c>
      <c r="C254" s="493" t="s">
        <v>3088</v>
      </c>
      <c r="D254" s="493" t="s">
        <v>3089</v>
      </c>
      <c r="E254" s="505">
        <v>0</v>
      </c>
      <c r="F254" s="505">
        <f t="shared" si="12"/>
        <v>0</v>
      </c>
      <c r="G254" s="505">
        <v>200000</v>
      </c>
      <c r="H254" s="505">
        <f t="shared" si="13"/>
        <v>200</v>
      </c>
      <c r="I254" s="505">
        <v>200000</v>
      </c>
      <c r="J254" s="505">
        <f t="shared" si="14"/>
        <v>200</v>
      </c>
      <c r="K254" s="506">
        <f t="shared" si="15"/>
        <v>1</v>
      </c>
    </row>
    <row r="255" spans="1:11" ht="21.9" customHeight="1">
      <c r="A255" s="509" t="s">
        <v>3302</v>
      </c>
      <c r="B255" s="493" t="s">
        <v>3303</v>
      </c>
      <c r="C255" s="493" t="s">
        <v>3088</v>
      </c>
      <c r="D255" s="493" t="s">
        <v>3089</v>
      </c>
      <c r="E255" s="505">
        <v>0</v>
      </c>
      <c r="F255" s="505">
        <f t="shared" si="12"/>
        <v>0</v>
      </c>
      <c r="G255" s="505">
        <v>480000</v>
      </c>
      <c r="H255" s="505">
        <f t="shared" si="13"/>
        <v>480</v>
      </c>
      <c r="I255" s="505">
        <v>480000</v>
      </c>
      <c r="J255" s="505">
        <f t="shared" si="14"/>
        <v>480</v>
      </c>
      <c r="K255" s="506">
        <f t="shared" si="15"/>
        <v>1</v>
      </c>
    </row>
    <row r="256" spans="1:11" ht="21.9" customHeight="1">
      <c r="A256" s="1136" t="s">
        <v>3304</v>
      </c>
      <c r="B256" s="1130" t="s">
        <v>3305</v>
      </c>
      <c r="C256" s="493" t="s">
        <v>3082</v>
      </c>
      <c r="D256" s="493" t="s">
        <v>3083</v>
      </c>
      <c r="E256" s="505">
        <v>0</v>
      </c>
      <c r="F256" s="505">
        <f t="shared" si="12"/>
        <v>0</v>
      </c>
      <c r="G256" s="505">
        <v>831000</v>
      </c>
      <c r="H256" s="505">
        <f t="shared" si="13"/>
        <v>831</v>
      </c>
      <c r="I256" s="505">
        <v>831000</v>
      </c>
      <c r="J256" s="505">
        <f t="shared" si="14"/>
        <v>831</v>
      </c>
      <c r="K256" s="506">
        <f t="shared" si="15"/>
        <v>1</v>
      </c>
    </row>
    <row r="257" spans="1:11" ht="21.9" customHeight="1">
      <c r="A257" s="1136"/>
      <c r="B257" s="1130"/>
      <c r="C257" s="493" t="s">
        <v>3088</v>
      </c>
      <c r="D257" s="493" t="s">
        <v>3089</v>
      </c>
      <c r="E257" s="505">
        <v>0</v>
      </c>
      <c r="F257" s="505">
        <f t="shared" si="12"/>
        <v>0</v>
      </c>
      <c r="G257" s="505">
        <v>100000</v>
      </c>
      <c r="H257" s="505">
        <f t="shared" si="13"/>
        <v>100</v>
      </c>
      <c r="I257" s="505">
        <v>100000</v>
      </c>
      <c r="J257" s="505">
        <f t="shared" si="14"/>
        <v>100</v>
      </c>
      <c r="K257" s="506">
        <f t="shared" si="15"/>
        <v>1</v>
      </c>
    </row>
    <row r="258" spans="1:11" ht="21.9" customHeight="1">
      <c r="A258" s="1136" t="s">
        <v>1185</v>
      </c>
      <c r="B258" s="1130" t="s">
        <v>3306</v>
      </c>
      <c r="C258" s="493" t="s">
        <v>3082</v>
      </c>
      <c r="D258" s="493" t="s">
        <v>3083</v>
      </c>
      <c r="E258" s="505">
        <v>0</v>
      </c>
      <c r="F258" s="505">
        <f t="shared" si="12"/>
        <v>0</v>
      </c>
      <c r="G258" s="505">
        <v>1707000</v>
      </c>
      <c r="H258" s="505">
        <f t="shared" si="13"/>
        <v>1707</v>
      </c>
      <c r="I258" s="505">
        <v>1707000</v>
      </c>
      <c r="J258" s="505">
        <f t="shared" si="14"/>
        <v>1707</v>
      </c>
      <c r="K258" s="506">
        <f t="shared" si="15"/>
        <v>1</v>
      </c>
    </row>
    <row r="259" spans="1:11" ht="21.9" customHeight="1">
      <c r="A259" s="1136"/>
      <c r="B259" s="1130"/>
      <c r="C259" s="493" t="s">
        <v>3088</v>
      </c>
      <c r="D259" s="493" t="s">
        <v>3089</v>
      </c>
      <c r="E259" s="505">
        <v>0</v>
      </c>
      <c r="F259" s="505">
        <f t="shared" si="12"/>
        <v>0</v>
      </c>
      <c r="G259" s="505">
        <v>2590000</v>
      </c>
      <c r="H259" s="505">
        <f t="shared" si="13"/>
        <v>2590</v>
      </c>
      <c r="I259" s="505">
        <v>2590000</v>
      </c>
      <c r="J259" s="505">
        <f t="shared" si="14"/>
        <v>2590</v>
      </c>
      <c r="K259" s="506">
        <f t="shared" si="15"/>
        <v>1</v>
      </c>
    </row>
    <row r="260" spans="1:11" ht="21.9" customHeight="1">
      <c r="A260" s="1136" t="s">
        <v>1189</v>
      </c>
      <c r="B260" s="1130" t="s">
        <v>3307</v>
      </c>
      <c r="C260" s="493" t="s">
        <v>3082</v>
      </c>
      <c r="D260" s="493" t="s">
        <v>3083</v>
      </c>
      <c r="E260" s="505">
        <v>0</v>
      </c>
      <c r="F260" s="505">
        <f t="shared" si="12"/>
        <v>0</v>
      </c>
      <c r="G260" s="505">
        <v>2480000</v>
      </c>
      <c r="H260" s="505">
        <f t="shared" si="13"/>
        <v>2480</v>
      </c>
      <c r="I260" s="511">
        <v>2479990.1</v>
      </c>
      <c r="J260" s="505">
        <f t="shared" si="14"/>
        <v>2479.9901</v>
      </c>
      <c r="K260" s="506">
        <f t="shared" si="15"/>
        <v>0.99999600806451616</v>
      </c>
    </row>
    <row r="261" spans="1:11" ht="21.9" customHeight="1">
      <c r="A261" s="1136"/>
      <c r="B261" s="1130"/>
      <c r="C261" s="493" t="s">
        <v>3088</v>
      </c>
      <c r="D261" s="493" t="s">
        <v>3089</v>
      </c>
      <c r="E261" s="505">
        <v>0</v>
      </c>
      <c r="F261" s="505">
        <f t="shared" si="12"/>
        <v>0</v>
      </c>
      <c r="G261" s="505">
        <v>1835000</v>
      </c>
      <c r="H261" s="505">
        <f t="shared" si="13"/>
        <v>1835</v>
      </c>
      <c r="I261" s="505">
        <v>1835000</v>
      </c>
      <c r="J261" s="505">
        <f t="shared" si="14"/>
        <v>1835</v>
      </c>
      <c r="K261" s="506">
        <f t="shared" si="15"/>
        <v>1</v>
      </c>
    </row>
    <row r="262" spans="1:11" ht="21.9" customHeight="1">
      <c r="A262" s="1136" t="s">
        <v>3308</v>
      </c>
      <c r="B262" s="1130" t="s">
        <v>3309</v>
      </c>
      <c r="C262" s="493" t="s">
        <v>3082</v>
      </c>
      <c r="D262" s="493" t="s">
        <v>3083</v>
      </c>
      <c r="E262" s="505">
        <v>0</v>
      </c>
      <c r="F262" s="505">
        <f t="shared" si="12"/>
        <v>0</v>
      </c>
      <c r="G262" s="505">
        <v>420000</v>
      </c>
      <c r="H262" s="505">
        <f t="shared" si="13"/>
        <v>420</v>
      </c>
      <c r="I262" s="505">
        <v>420000</v>
      </c>
      <c r="J262" s="505">
        <f t="shared" si="14"/>
        <v>420</v>
      </c>
      <c r="K262" s="506">
        <f t="shared" si="15"/>
        <v>1</v>
      </c>
    </row>
    <row r="263" spans="1:11" ht="21.9" customHeight="1">
      <c r="A263" s="1136"/>
      <c r="B263" s="1130"/>
      <c r="C263" s="493" t="s">
        <v>3088</v>
      </c>
      <c r="D263" s="493" t="s">
        <v>3089</v>
      </c>
      <c r="E263" s="505">
        <v>0</v>
      </c>
      <c r="F263" s="505">
        <f t="shared" ref="F263:F326" si="16">E263/1000</f>
        <v>0</v>
      </c>
      <c r="G263" s="505">
        <v>120000</v>
      </c>
      <c r="H263" s="505">
        <f t="shared" ref="H263:H326" si="17">G263/1000</f>
        <v>120</v>
      </c>
      <c r="I263" s="505">
        <v>120000</v>
      </c>
      <c r="J263" s="505">
        <f t="shared" ref="J263:J326" si="18">I263/1000</f>
        <v>120</v>
      </c>
      <c r="K263" s="506">
        <f t="shared" ref="K263:K326" si="19">I263/G263</f>
        <v>1</v>
      </c>
    </row>
    <row r="264" spans="1:11" ht="21.9" customHeight="1">
      <c r="A264" s="509" t="s">
        <v>3310</v>
      </c>
      <c r="B264" s="493" t="s">
        <v>3311</v>
      </c>
      <c r="C264" s="493" t="s">
        <v>3088</v>
      </c>
      <c r="D264" s="493" t="s">
        <v>3089</v>
      </c>
      <c r="E264" s="505">
        <v>0</v>
      </c>
      <c r="F264" s="505">
        <f t="shared" si="16"/>
        <v>0</v>
      </c>
      <c r="G264" s="505">
        <v>250000</v>
      </c>
      <c r="H264" s="505">
        <f t="shared" si="17"/>
        <v>250</v>
      </c>
      <c r="I264" s="505">
        <v>250000</v>
      </c>
      <c r="J264" s="505">
        <f t="shared" si="18"/>
        <v>250</v>
      </c>
      <c r="K264" s="506">
        <f t="shared" si="19"/>
        <v>1</v>
      </c>
    </row>
    <row r="265" spans="1:11" ht="21.9" customHeight="1">
      <c r="A265" s="1136" t="s">
        <v>3312</v>
      </c>
      <c r="B265" s="1130" t="s">
        <v>3313</v>
      </c>
      <c r="C265" s="493" t="s">
        <v>3082</v>
      </c>
      <c r="D265" s="493" t="s">
        <v>3083</v>
      </c>
      <c r="E265" s="505">
        <v>0</v>
      </c>
      <c r="F265" s="505">
        <f t="shared" si="16"/>
        <v>0</v>
      </c>
      <c r="G265" s="505">
        <v>130000</v>
      </c>
      <c r="H265" s="505">
        <f t="shared" si="17"/>
        <v>130</v>
      </c>
      <c r="I265" s="505">
        <v>130000</v>
      </c>
      <c r="J265" s="505">
        <f t="shared" si="18"/>
        <v>130</v>
      </c>
      <c r="K265" s="506">
        <f t="shared" si="19"/>
        <v>1</v>
      </c>
    </row>
    <row r="266" spans="1:11" ht="21.9" customHeight="1">
      <c r="A266" s="1136"/>
      <c r="B266" s="1130"/>
      <c r="C266" s="493" t="s">
        <v>3088</v>
      </c>
      <c r="D266" s="493" t="s">
        <v>3089</v>
      </c>
      <c r="E266" s="505">
        <v>0</v>
      </c>
      <c r="F266" s="505">
        <f t="shared" si="16"/>
        <v>0</v>
      </c>
      <c r="G266" s="505">
        <v>300000</v>
      </c>
      <c r="H266" s="505">
        <f t="shared" si="17"/>
        <v>300</v>
      </c>
      <c r="I266" s="505">
        <v>300000</v>
      </c>
      <c r="J266" s="505">
        <f t="shared" si="18"/>
        <v>300</v>
      </c>
      <c r="K266" s="506">
        <f t="shared" si="19"/>
        <v>1</v>
      </c>
    </row>
    <row r="267" spans="1:11" ht="21.9" customHeight="1">
      <c r="A267" s="509" t="s">
        <v>3216</v>
      </c>
      <c r="B267" s="493" t="s">
        <v>3217</v>
      </c>
      <c r="C267" s="493" t="s">
        <v>3082</v>
      </c>
      <c r="D267" s="493" t="s">
        <v>3083</v>
      </c>
      <c r="E267" s="505">
        <v>0</v>
      </c>
      <c r="F267" s="505">
        <f t="shared" si="16"/>
        <v>0</v>
      </c>
      <c r="G267" s="505">
        <v>200000</v>
      </c>
      <c r="H267" s="505">
        <f t="shared" si="17"/>
        <v>200</v>
      </c>
      <c r="I267" s="505">
        <v>200000</v>
      </c>
      <c r="J267" s="505">
        <f t="shared" si="18"/>
        <v>200</v>
      </c>
      <c r="K267" s="506">
        <f t="shared" si="19"/>
        <v>1</v>
      </c>
    </row>
    <row r="268" spans="1:11" ht="21.9" customHeight="1">
      <c r="A268" s="509" t="s">
        <v>3226</v>
      </c>
      <c r="B268" s="493" t="s">
        <v>3227</v>
      </c>
      <c r="C268" s="493" t="s">
        <v>3082</v>
      </c>
      <c r="D268" s="493" t="s">
        <v>3083</v>
      </c>
      <c r="E268" s="505">
        <v>0</v>
      </c>
      <c r="F268" s="505">
        <f t="shared" si="16"/>
        <v>0</v>
      </c>
      <c r="G268" s="505">
        <v>210000</v>
      </c>
      <c r="H268" s="505">
        <f t="shared" si="17"/>
        <v>210</v>
      </c>
      <c r="I268" s="505">
        <v>210000</v>
      </c>
      <c r="J268" s="505">
        <f t="shared" si="18"/>
        <v>210</v>
      </c>
      <c r="K268" s="506">
        <f t="shared" si="19"/>
        <v>1</v>
      </c>
    </row>
    <row r="269" spans="1:11" ht="21.9" customHeight="1">
      <c r="A269" s="1136" t="s">
        <v>3228</v>
      </c>
      <c r="B269" s="1130" t="s">
        <v>3229</v>
      </c>
      <c r="C269" s="493" t="s">
        <v>3082</v>
      </c>
      <c r="D269" s="493" t="s">
        <v>3083</v>
      </c>
      <c r="E269" s="505">
        <v>0</v>
      </c>
      <c r="F269" s="505">
        <f t="shared" si="16"/>
        <v>0</v>
      </c>
      <c r="G269" s="505">
        <v>570000</v>
      </c>
      <c r="H269" s="505">
        <f t="shared" si="17"/>
        <v>570</v>
      </c>
      <c r="I269" s="505">
        <v>570000</v>
      </c>
      <c r="J269" s="505">
        <f t="shared" si="18"/>
        <v>570</v>
      </c>
      <c r="K269" s="506">
        <f t="shared" si="19"/>
        <v>1</v>
      </c>
    </row>
    <row r="270" spans="1:11" ht="21.9" customHeight="1">
      <c r="A270" s="1136"/>
      <c r="B270" s="1130"/>
      <c r="C270" s="493" t="s">
        <v>3088</v>
      </c>
      <c r="D270" s="493" t="s">
        <v>3089</v>
      </c>
      <c r="E270" s="505">
        <v>0</v>
      </c>
      <c r="F270" s="505">
        <f t="shared" si="16"/>
        <v>0</v>
      </c>
      <c r="G270" s="505">
        <v>960000</v>
      </c>
      <c r="H270" s="505">
        <f t="shared" si="17"/>
        <v>960</v>
      </c>
      <c r="I270" s="505">
        <v>960000</v>
      </c>
      <c r="J270" s="505">
        <f t="shared" si="18"/>
        <v>960</v>
      </c>
      <c r="K270" s="506">
        <f t="shared" si="19"/>
        <v>1</v>
      </c>
    </row>
    <row r="271" spans="1:11" ht="33.75" customHeight="1">
      <c r="A271" s="509" t="s">
        <v>3230</v>
      </c>
      <c r="B271" s="493" t="s">
        <v>3231</v>
      </c>
      <c r="C271" s="493" t="s">
        <v>3082</v>
      </c>
      <c r="D271" s="493" t="s">
        <v>3083</v>
      </c>
      <c r="E271" s="505">
        <v>0</v>
      </c>
      <c r="F271" s="505">
        <f t="shared" si="16"/>
        <v>0</v>
      </c>
      <c r="G271" s="505">
        <v>414000</v>
      </c>
      <c r="H271" s="505">
        <f t="shared" si="17"/>
        <v>414</v>
      </c>
      <c r="I271" s="505">
        <v>414000</v>
      </c>
      <c r="J271" s="505">
        <f t="shared" si="18"/>
        <v>414</v>
      </c>
      <c r="K271" s="506">
        <f t="shared" si="19"/>
        <v>1</v>
      </c>
    </row>
    <row r="272" spans="1:11" ht="34.5" customHeight="1">
      <c r="A272" s="509" t="s">
        <v>3230</v>
      </c>
      <c r="B272" s="493" t="s">
        <v>3231</v>
      </c>
      <c r="C272" s="493" t="s">
        <v>3088</v>
      </c>
      <c r="D272" s="493" t="s">
        <v>3089</v>
      </c>
      <c r="E272" s="505">
        <v>0</v>
      </c>
      <c r="F272" s="505">
        <f t="shared" si="16"/>
        <v>0</v>
      </c>
      <c r="G272" s="505">
        <v>620000</v>
      </c>
      <c r="H272" s="505">
        <f t="shared" si="17"/>
        <v>620</v>
      </c>
      <c r="I272" s="505">
        <v>620000</v>
      </c>
      <c r="J272" s="505">
        <f t="shared" si="18"/>
        <v>620</v>
      </c>
      <c r="K272" s="506">
        <f t="shared" si="19"/>
        <v>1</v>
      </c>
    </row>
    <row r="273" spans="1:11" ht="21.9" customHeight="1">
      <c r="A273" s="1136" t="s">
        <v>3314</v>
      </c>
      <c r="B273" s="1130" t="s">
        <v>3315</v>
      </c>
      <c r="C273" s="493" t="s">
        <v>3088</v>
      </c>
      <c r="D273" s="493" t="s">
        <v>3089</v>
      </c>
      <c r="E273" s="505">
        <v>0</v>
      </c>
      <c r="F273" s="505">
        <f t="shared" si="16"/>
        <v>0</v>
      </c>
      <c r="G273" s="505">
        <v>1219000</v>
      </c>
      <c r="H273" s="505">
        <f t="shared" si="17"/>
        <v>1219</v>
      </c>
      <c r="I273" s="505">
        <v>1219000</v>
      </c>
      <c r="J273" s="505">
        <f t="shared" si="18"/>
        <v>1219</v>
      </c>
      <c r="K273" s="506">
        <f t="shared" si="19"/>
        <v>1</v>
      </c>
    </row>
    <row r="274" spans="1:11" ht="21.9" customHeight="1">
      <c r="A274" s="1136"/>
      <c r="B274" s="1130"/>
      <c r="C274" s="493" t="s">
        <v>3298</v>
      </c>
      <c r="D274" s="493" t="s">
        <v>3299</v>
      </c>
      <c r="E274" s="505">
        <v>0</v>
      </c>
      <c r="F274" s="505">
        <f t="shared" si="16"/>
        <v>0</v>
      </c>
      <c r="G274" s="505">
        <v>270000</v>
      </c>
      <c r="H274" s="505">
        <f t="shared" si="17"/>
        <v>270</v>
      </c>
      <c r="I274" s="505">
        <v>270000</v>
      </c>
      <c r="J274" s="505">
        <f t="shared" si="18"/>
        <v>270</v>
      </c>
      <c r="K274" s="506">
        <f t="shared" si="19"/>
        <v>1</v>
      </c>
    </row>
    <row r="275" spans="1:11" ht="21.9" customHeight="1">
      <c r="A275" s="1136" t="s">
        <v>3316</v>
      </c>
      <c r="B275" s="1130" t="s">
        <v>3317</v>
      </c>
      <c r="C275" s="493" t="s">
        <v>3082</v>
      </c>
      <c r="D275" s="493" t="s">
        <v>3083</v>
      </c>
      <c r="E275" s="505">
        <v>0</v>
      </c>
      <c r="F275" s="505">
        <f t="shared" si="16"/>
        <v>0</v>
      </c>
      <c r="G275" s="505">
        <v>2444000</v>
      </c>
      <c r="H275" s="505">
        <f t="shared" si="17"/>
        <v>2444</v>
      </c>
      <c r="I275" s="505">
        <v>2444000</v>
      </c>
      <c r="J275" s="505">
        <f t="shared" si="18"/>
        <v>2444</v>
      </c>
      <c r="K275" s="506">
        <f t="shared" si="19"/>
        <v>1</v>
      </c>
    </row>
    <row r="276" spans="1:11" ht="21.9" customHeight="1">
      <c r="A276" s="1136"/>
      <c r="B276" s="1130"/>
      <c r="C276" s="493" t="s">
        <v>3088</v>
      </c>
      <c r="D276" s="493" t="s">
        <v>3089</v>
      </c>
      <c r="E276" s="505">
        <v>0</v>
      </c>
      <c r="F276" s="505">
        <f t="shared" si="16"/>
        <v>0</v>
      </c>
      <c r="G276" s="505">
        <v>1150000</v>
      </c>
      <c r="H276" s="505">
        <f t="shared" si="17"/>
        <v>1150</v>
      </c>
      <c r="I276" s="505">
        <v>1150000</v>
      </c>
      <c r="J276" s="505">
        <f t="shared" si="18"/>
        <v>1150</v>
      </c>
      <c r="K276" s="506">
        <f t="shared" si="19"/>
        <v>1</v>
      </c>
    </row>
    <row r="277" spans="1:11" ht="21.9" customHeight="1">
      <c r="A277" s="1136" t="s">
        <v>3318</v>
      </c>
      <c r="B277" s="1130" t="s">
        <v>3319</v>
      </c>
      <c r="C277" s="493" t="s">
        <v>3082</v>
      </c>
      <c r="D277" s="493" t="s">
        <v>3083</v>
      </c>
      <c r="E277" s="505">
        <v>0</v>
      </c>
      <c r="F277" s="505">
        <f t="shared" si="16"/>
        <v>0</v>
      </c>
      <c r="G277" s="505">
        <v>784000</v>
      </c>
      <c r="H277" s="505">
        <f t="shared" si="17"/>
        <v>784</v>
      </c>
      <c r="I277" s="505">
        <v>784000</v>
      </c>
      <c r="J277" s="505">
        <f t="shared" si="18"/>
        <v>784</v>
      </c>
      <c r="K277" s="506">
        <f t="shared" si="19"/>
        <v>1</v>
      </c>
    </row>
    <row r="278" spans="1:11" ht="21.9" customHeight="1">
      <c r="A278" s="1136"/>
      <c r="B278" s="1130"/>
      <c r="C278" s="493" t="s">
        <v>3088</v>
      </c>
      <c r="D278" s="493" t="s">
        <v>3089</v>
      </c>
      <c r="E278" s="505">
        <v>0</v>
      </c>
      <c r="F278" s="505">
        <f t="shared" si="16"/>
        <v>0</v>
      </c>
      <c r="G278" s="505">
        <v>2938000</v>
      </c>
      <c r="H278" s="505">
        <f t="shared" si="17"/>
        <v>2938</v>
      </c>
      <c r="I278" s="505">
        <v>2938000</v>
      </c>
      <c r="J278" s="505">
        <f t="shared" si="18"/>
        <v>2938</v>
      </c>
      <c r="K278" s="506">
        <f t="shared" si="19"/>
        <v>1</v>
      </c>
    </row>
    <row r="279" spans="1:11" ht="21.9" customHeight="1">
      <c r="A279" s="1136" t="s">
        <v>3320</v>
      </c>
      <c r="B279" s="1130" t="s">
        <v>3321</v>
      </c>
      <c r="C279" s="493" t="s">
        <v>3088</v>
      </c>
      <c r="D279" s="493" t="s">
        <v>3089</v>
      </c>
      <c r="E279" s="505">
        <v>0</v>
      </c>
      <c r="F279" s="505">
        <f t="shared" si="16"/>
        <v>0</v>
      </c>
      <c r="G279" s="505">
        <v>540000</v>
      </c>
      <c r="H279" s="505">
        <f t="shared" si="17"/>
        <v>540</v>
      </c>
      <c r="I279" s="505">
        <v>540000</v>
      </c>
      <c r="J279" s="505">
        <f t="shared" si="18"/>
        <v>540</v>
      </c>
      <c r="K279" s="506">
        <f t="shared" si="19"/>
        <v>1</v>
      </c>
    </row>
    <row r="280" spans="1:11" ht="21.9" customHeight="1">
      <c r="A280" s="1136"/>
      <c r="B280" s="1130"/>
      <c r="C280" s="493" t="s">
        <v>3298</v>
      </c>
      <c r="D280" s="493" t="s">
        <v>3299</v>
      </c>
      <c r="E280" s="505">
        <v>0</v>
      </c>
      <c r="F280" s="505">
        <f t="shared" si="16"/>
        <v>0</v>
      </c>
      <c r="G280" s="505">
        <v>250000</v>
      </c>
      <c r="H280" s="505">
        <f t="shared" si="17"/>
        <v>250</v>
      </c>
      <c r="I280" s="505">
        <v>250000</v>
      </c>
      <c r="J280" s="505">
        <f t="shared" si="18"/>
        <v>250</v>
      </c>
      <c r="K280" s="506">
        <f t="shared" si="19"/>
        <v>1</v>
      </c>
    </row>
    <row r="281" spans="1:11" ht="21.9" customHeight="1">
      <c r="A281" s="1136" t="s">
        <v>3236</v>
      </c>
      <c r="B281" s="1130" t="s">
        <v>3237</v>
      </c>
      <c r="C281" s="493" t="s">
        <v>3082</v>
      </c>
      <c r="D281" s="493" t="s">
        <v>3083</v>
      </c>
      <c r="E281" s="505">
        <v>0</v>
      </c>
      <c r="F281" s="505">
        <f t="shared" si="16"/>
        <v>0</v>
      </c>
      <c r="G281" s="505">
        <v>180000</v>
      </c>
      <c r="H281" s="505">
        <f t="shared" si="17"/>
        <v>180</v>
      </c>
      <c r="I281" s="505">
        <v>180000</v>
      </c>
      <c r="J281" s="505">
        <f t="shared" si="18"/>
        <v>180</v>
      </c>
      <c r="K281" s="506">
        <f t="shared" si="19"/>
        <v>1</v>
      </c>
    </row>
    <row r="282" spans="1:11" ht="21.9" customHeight="1">
      <c r="A282" s="1136"/>
      <c r="B282" s="1130"/>
      <c r="C282" s="493" t="s">
        <v>3088</v>
      </c>
      <c r="D282" s="493" t="s">
        <v>3089</v>
      </c>
      <c r="E282" s="505">
        <v>0</v>
      </c>
      <c r="F282" s="505">
        <f t="shared" si="16"/>
        <v>0</v>
      </c>
      <c r="G282" s="505">
        <v>430000</v>
      </c>
      <c r="H282" s="505">
        <f t="shared" si="17"/>
        <v>430</v>
      </c>
      <c r="I282" s="505">
        <v>430000</v>
      </c>
      <c r="J282" s="505">
        <f t="shared" si="18"/>
        <v>430</v>
      </c>
      <c r="K282" s="506">
        <f t="shared" si="19"/>
        <v>1</v>
      </c>
    </row>
    <row r="283" spans="1:11" ht="21.9" customHeight="1">
      <c r="A283" s="1136"/>
      <c r="B283" s="1130"/>
      <c r="C283" s="493" t="s">
        <v>3298</v>
      </c>
      <c r="D283" s="493" t="s">
        <v>3299</v>
      </c>
      <c r="E283" s="505">
        <v>0</v>
      </c>
      <c r="F283" s="505">
        <f t="shared" si="16"/>
        <v>0</v>
      </c>
      <c r="G283" s="505">
        <v>740000</v>
      </c>
      <c r="H283" s="505">
        <f t="shared" si="17"/>
        <v>740</v>
      </c>
      <c r="I283" s="505">
        <v>740000</v>
      </c>
      <c r="J283" s="505">
        <f t="shared" si="18"/>
        <v>740</v>
      </c>
      <c r="K283" s="506">
        <f t="shared" si="19"/>
        <v>1</v>
      </c>
    </row>
    <row r="284" spans="1:11" ht="21.9" customHeight="1">
      <c r="A284" s="509" t="s">
        <v>3322</v>
      </c>
      <c r="B284" s="493" t="s">
        <v>3323</v>
      </c>
      <c r="C284" s="493" t="s">
        <v>3088</v>
      </c>
      <c r="D284" s="493" t="s">
        <v>3089</v>
      </c>
      <c r="E284" s="505">
        <v>0</v>
      </c>
      <c r="F284" s="505">
        <f t="shared" si="16"/>
        <v>0</v>
      </c>
      <c r="G284" s="505">
        <v>300000</v>
      </c>
      <c r="H284" s="505">
        <f t="shared" si="17"/>
        <v>300</v>
      </c>
      <c r="I284" s="505">
        <v>300000</v>
      </c>
      <c r="J284" s="505">
        <f t="shared" si="18"/>
        <v>300</v>
      </c>
      <c r="K284" s="506">
        <f t="shared" si="19"/>
        <v>1</v>
      </c>
    </row>
    <row r="285" spans="1:11" ht="21.9" customHeight="1">
      <c r="A285" s="1136" t="s">
        <v>3324</v>
      </c>
      <c r="B285" s="1130" t="s">
        <v>3325</v>
      </c>
      <c r="C285" s="493" t="s">
        <v>3082</v>
      </c>
      <c r="D285" s="493" t="s">
        <v>3083</v>
      </c>
      <c r="E285" s="505">
        <v>0</v>
      </c>
      <c r="F285" s="505">
        <f t="shared" si="16"/>
        <v>0</v>
      </c>
      <c r="G285" s="505">
        <v>880000</v>
      </c>
      <c r="H285" s="505">
        <f t="shared" si="17"/>
        <v>880</v>
      </c>
      <c r="I285" s="505">
        <v>880000</v>
      </c>
      <c r="J285" s="505">
        <f t="shared" si="18"/>
        <v>880</v>
      </c>
      <c r="K285" s="506">
        <f t="shared" si="19"/>
        <v>1</v>
      </c>
    </row>
    <row r="286" spans="1:11" ht="21.9" customHeight="1">
      <c r="A286" s="1136"/>
      <c r="B286" s="1130"/>
      <c r="C286" s="493" t="s">
        <v>3088</v>
      </c>
      <c r="D286" s="493" t="s">
        <v>3089</v>
      </c>
      <c r="E286" s="505">
        <v>0</v>
      </c>
      <c r="F286" s="505">
        <f t="shared" si="16"/>
        <v>0</v>
      </c>
      <c r="G286" s="505">
        <v>177000</v>
      </c>
      <c r="H286" s="505">
        <f t="shared" si="17"/>
        <v>177</v>
      </c>
      <c r="I286" s="505">
        <v>177000</v>
      </c>
      <c r="J286" s="505">
        <f t="shared" si="18"/>
        <v>177</v>
      </c>
      <c r="K286" s="506">
        <f t="shared" si="19"/>
        <v>1</v>
      </c>
    </row>
    <row r="287" spans="1:11" ht="21.9" customHeight="1">
      <c r="A287" s="509" t="s">
        <v>3255</v>
      </c>
      <c r="B287" s="493" t="s">
        <v>3256</v>
      </c>
      <c r="C287" s="493" t="s">
        <v>3088</v>
      </c>
      <c r="D287" s="493" t="s">
        <v>3089</v>
      </c>
      <c r="E287" s="505">
        <v>0</v>
      </c>
      <c r="F287" s="505">
        <f t="shared" si="16"/>
        <v>0</v>
      </c>
      <c r="G287" s="505">
        <v>150000</v>
      </c>
      <c r="H287" s="505">
        <f t="shared" si="17"/>
        <v>150</v>
      </c>
      <c r="I287" s="505">
        <v>150000</v>
      </c>
      <c r="J287" s="505">
        <f t="shared" si="18"/>
        <v>150</v>
      </c>
      <c r="K287" s="506">
        <f t="shared" si="19"/>
        <v>1</v>
      </c>
    </row>
    <row r="288" spans="1:11" ht="21.9" customHeight="1">
      <c r="A288" s="509" t="s">
        <v>3326</v>
      </c>
      <c r="B288" s="493" t="s">
        <v>3327</v>
      </c>
      <c r="C288" s="493" t="s">
        <v>3088</v>
      </c>
      <c r="D288" s="493" t="s">
        <v>3089</v>
      </c>
      <c r="E288" s="505">
        <v>0</v>
      </c>
      <c r="F288" s="505">
        <f t="shared" si="16"/>
        <v>0</v>
      </c>
      <c r="G288" s="505">
        <v>1440000</v>
      </c>
      <c r="H288" s="505">
        <f t="shared" si="17"/>
        <v>1440</v>
      </c>
      <c r="I288" s="505">
        <v>1440000</v>
      </c>
      <c r="J288" s="505">
        <f t="shared" si="18"/>
        <v>1440</v>
      </c>
      <c r="K288" s="506">
        <f t="shared" si="19"/>
        <v>1</v>
      </c>
    </row>
    <row r="289" spans="1:11" ht="21.9" customHeight="1">
      <c r="A289" s="1136" t="s">
        <v>3328</v>
      </c>
      <c r="B289" s="1130" t="s">
        <v>3329</v>
      </c>
      <c r="C289" s="493" t="s">
        <v>3082</v>
      </c>
      <c r="D289" s="493" t="s">
        <v>3083</v>
      </c>
      <c r="E289" s="505">
        <v>0</v>
      </c>
      <c r="F289" s="505">
        <f t="shared" si="16"/>
        <v>0</v>
      </c>
      <c r="G289" s="505">
        <v>210000</v>
      </c>
      <c r="H289" s="505">
        <f t="shared" si="17"/>
        <v>210</v>
      </c>
      <c r="I289" s="505">
        <v>210000</v>
      </c>
      <c r="J289" s="505">
        <f t="shared" si="18"/>
        <v>210</v>
      </c>
      <c r="K289" s="506">
        <f t="shared" si="19"/>
        <v>1</v>
      </c>
    </row>
    <row r="290" spans="1:11" ht="21.9" customHeight="1">
      <c r="A290" s="1136"/>
      <c r="B290" s="1130"/>
      <c r="C290" s="493" t="s">
        <v>3088</v>
      </c>
      <c r="D290" s="493" t="s">
        <v>3089</v>
      </c>
      <c r="E290" s="505">
        <v>0</v>
      </c>
      <c r="F290" s="505">
        <f t="shared" si="16"/>
        <v>0</v>
      </c>
      <c r="G290" s="505">
        <v>450000</v>
      </c>
      <c r="H290" s="505">
        <f t="shared" si="17"/>
        <v>450</v>
      </c>
      <c r="I290" s="505">
        <v>450000</v>
      </c>
      <c r="J290" s="505">
        <f t="shared" si="18"/>
        <v>450</v>
      </c>
      <c r="K290" s="506">
        <f t="shared" si="19"/>
        <v>1</v>
      </c>
    </row>
    <row r="291" spans="1:11" ht="21.9" customHeight="1">
      <c r="A291" s="1136" t="s">
        <v>3330</v>
      </c>
      <c r="B291" s="1130" t="s">
        <v>3331</v>
      </c>
      <c r="C291" s="493" t="s">
        <v>3092</v>
      </c>
      <c r="D291" s="493" t="s">
        <v>3093</v>
      </c>
      <c r="E291" s="505">
        <v>100000</v>
      </c>
      <c r="F291" s="505">
        <f t="shared" si="16"/>
        <v>100</v>
      </c>
      <c r="G291" s="505">
        <v>53530.66</v>
      </c>
      <c r="H291" s="505">
        <f t="shared" si="17"/>
        <v>53.530660000000005</v>
      </c>
      <c r="I291" s="505">
        <v>0</v>
      </c>
      <c r="J291" s="505">
        <f t="shared" si="18"/>
        <v>0</v>
      </c>
      <c r="K291" s="506">
        <f t="shared" si="19"/>
        <v>0</v>
      </c>
    </row>
    <row r="292" spans="1:11" ht="21.9" customHeight="1">
      <c r="A292" s="1136"/>
      <c r="B292" s="1130"/>
      <c r="C292" s="493" t="s">
        <v>3074</v>
      </c>
      <c r="D292" s="493" t="s">
        <v>3075</v>
      </c>
      <c r="E292" s="505">
        <v>0</v>
      </c>
      <c r="F292" s="505">
        <f t="shared" si="16"/>
        <v>0</v>
      </c>
      <c r="G292" s="505">
        <v>12000</v>
      </c>
      <c r="H292" s="505">
        <f t="shared" si="17"/>
        <v>12</v>
      </c>
      <c r="I292" s="505">
        <v>12000</v>
      </c>
      <c r="J292" s="505">
        <f t="shared" si="18"/>
        <v>12</v>
      </c>
      <c r="K292" s="506">
        <f t="shared" si="19"/>
        <v>1</v>
      </c>
    </row>
    <row r="293" spans="1:11" ht="21.9" customHeight="1">
      <c r="A293" s="1136"/>
      <c r="B293" s="1130"/>
      <c r="C293" s="493" t="s">
        <v>3137</v>
      </c>
      <c r="D293" s="493" t="s">
        <v>3138</v>
      </c>
      <c r="E293" s="505">
        <v>0</v>
      </c>
      <c r="F293" s="505">
        <f t="shared" si="16"/>
        <v>0</v>
      </c>
      <c r="G293" s="505">
        <v>34469.339999999997</v>
      </c>
      <c r="H293" s="505">
        <f t="shared" si="17"/>
        <v>34.469339999999995</v>
      </c>
      <c r="I293" s="505">
        <v>34469.339999999997</v>
      </c>
      <c r="J293" s="505">
        <f t="shared" si="18"/>
        <v>34.469339999999995</v>
      </c>
      <c r="K293" s="506">
        <f t="shared" si="19"/>
        <v>1</v>
      </c>
    </row>
    <row r="294" spans="1:11" ht="21.9" customHeight="1">
      <c r="A294" s="1136"/>
      <c r="B294" s="1130"/>
      <c r="C294" s="493" t="s">
        <v>3191</v>
      </c>
      <c r="D294" s="493" t="s">
        <v>3192</v>
      </c>
      <c r="E294" s="505">
        <v>2600000</v>
      </c>
      <c r="F294" s="505">
        <f t="shared" si="16"/>
        <v>2600</v>
      </c>
      <c r="G294" s="505">
        <v>2600000</v>
      </c>
      <c r="H294" s="505">
        <f t="shared" si="17"/>
        <v>2600</v>
      </c>
      <c r="I294" s="505">
        <v>2181700</v>
      </c>
      <c r="J294" s="505">
        <f t="shared" si="18"/>
        <v>2181.6999999999998</v>
      </c>
      <c r="K294" s="506">
        <f t="shared" si="19"/>
        <v>0.8391153846153846</v>
      </c>
    </row>
    <row r="295" spans="1:11" ht="21.9" customHeight="1">
      <c r="A295" s="1136" t="s">
        <v>3268</v>
      </c>
      <c r="B295" s="1130" t="s">
        <v>3269</v>
      </c>
      <c r="C295" s="493" t="s">
        <v>3145</v>
      </c>
      <c r="D295" s="493" t="s">
        <v>3146</v>
      </c>
      <c r="E295" s="505">
        <v>0</v>
      </c>
      <c r="F295" s="505">
        <f t="shared" si="16"/>
        <v>0</v>
      </c>
      <c r="G295" s="505">
        <v>462564</v>
      </c>
      <c r="H295" s="505">
        <f t="shared" si="17"/>
        <v>462.56400000000002</v>
      </c>
      <c r="I295" s="505">
        <v>462563.6</v>
      </c>
      <c r="J295" s="505">
        <f t="shared" si="18"/>
        <v>462.56359999999995</v>
      </c>
      <c r="K295" s="506">
        <f t="shared" si="19"/>
        <v>0.99999913525479711</v>
      </c>
    </row>
    <row r="296" spans="1:11" ht="21.9" customHeight="1">
      <c r="A296" s="1136"/>
      <c r="B296" s="1130"/>
      <c r="C296" s="493" t="s">
        <v>3074</v>
      </c>
      <c r="D296" s="493" t="s">
        <v>3075</v>
      </c>
      <c r="E296" s="505">
        <v>0</v>
      </c>
      <c r="F296" s="505">
        <f t="shared" si="16"/>
        <v>0</v>
      </c>
      <c r="G296" s="505">
        <v>19200</v>
      </c>
      <c r="H296" s="505">
        <f t="shared" si="17"/>
        <v>19.2</v>
      </c>
      <c r="I296" s="505">
        <v>19200</v>
      </c>
      <c r="J296" s="505">
        <f t="shared" si="18"/>
        <v>19.2</v>
      </c>
      <c r="K296" s="506">
        <f t="shared" si="19"/>
        <v>1</v>
      </c>
    </row>
    <row r="297" spans="1:11" ht="21.9" customHeight="1">
      <c r="A297" s="1136"/>
      <c r="B297" s="1130"/>
      <c r="C297" s="493" t="s">
        <v>3212</v>
      </c>
      <c r="D297" s="493" t="s">
        <v>3213</v>
      </c>
      <c r="E297" s="505">
        <v>0</v>
      </c>
      <c r="F297" s="505">
        <f t="shared" si="16"/>
        <v>0</v>
      </c>
      <c r="G297" s="505">
        <v>602000</v>
      </c>
      <c r="H297" s="505">
        <f t="shared" si="17"/>
        <v>602</v>
      </c>
      <c r="I297" s="505">
        <v>602000</v>
      </c>
      <c r="J297" s="505">
        <f t="shared" si="18"/>
        <v>602</v>
      </c>
      <c r="K297" s="506">
        <f t="shared" si="19"/>
        <v>1</v>
      </c>
    </row>
    <row r="298" spans="1:11" ht="21.9" customHeight="1">
      <c r="A298" s="1136"/>
      <c r="B298" s="1130"/>
      <c r="C298" s="493" t="s">
        <v>3124</v>
      </c>
      <c r="D298" s="493" t="s">
        <v>3125</v>
      </c>
      <c r="E298" s="505">
        <v>0</v>
      </c>
      <c r="F298" s="505">
        <f t="shared" si="16"/>
        <v>0</v>
      </c>
      <c r="G298" s="505">
        <v>922000</v>
      </c>
      <c r="H298" s="505">
        <f t="shared" si="17"/>
        <v>922</v>
      </c>
      <c r="I298" s="505">
        <v>922000</v>
      </c>
      <c r="J298" s="505">
        <f t="shared" si="18"/>
        <v>922</v>
      </c>
      <c r="K298" s="506">
        <f t="shared" si="19"/>
        <v>1</v>
      </c>
    </row>
    <row r="299" spans="1:11" ht="21.9" customHeight="1">
      <c r="A299" s="1136"/>
      <c r="B299" s="1130"/>
      <c r="C299" s="493" t="s">
        <v>3078</v>
      </c>
      <c r="D299" s="493" t="s">
        <v>3079</v>
      </c>
      <c r="E299" s="505">
        <v>0</v>
      </c>
      <c r="F299" s="505">
        <f t="shared" si="16"/>
        <v>0</v>
      </c>
      <c r="G299" s="505">
        <v>156000</v>
      </c>
      <c r="H299" s="505">
        <f t="shared" si="17"/>
        <v>156</v>
      </c>
      <c r="I299" s="505">
        <v>156000</v>
      </c>
      <c r="J299" s="505">
        <f t="shared" si="18"/>
        <v>156</v>
      </c>
      <c r="K299" s="506">
        <f t="shared" si="19"/>
        <v>1</v>
      </c>
    </row>
    <row r="300" spans="1:11" ht="21.9" customHeight="1">
      <c r="A300" s="1136"/>
      <c r="B300" s="1130"/>
      <c r="C300" s="493" t="s">
        <v>3200</v>
      </c>
      <c r="D300" s="493" t="s">
        <v>3201</v>
      </c>
      <c r="E300" s="505">
        <v>0</v>
      </c>
      <c r="F300" s="505">
        <f t="shared" si="16"/>
        <v>0</v>
      </c>
      <c r="G300" s="505">
        <v>580000</v>
      </c>
      <c r="H300" s="505">
        <f t="shared" si="17"/>
        <v>580</v>
      </c>
      <c r="I300" s="505">
        <v>580000</v>
      </c>
      <c r="J300" s="505">
        <f t="shared" si="18"/>
        <v>580</v>
      </c>
      <c r="K300" s="506">
        <f t="shared" si="19"/>
        <v>1</v>
      </c>
    </row>
    <row r="301" spans="1:11" ht="21.9" customHeight="1">
      <c r="A301" s="1136"/>
      <c r="B301" s="1130"/>
      <c r="C301" s="493" t="s">
        <v>3088</v>
      </c>
      <c r="D301" s="493" t="s">
        <v>3089</v>
      </c>
      <c r="E301" s="505">
        <v>0</v>
      </c>
      <c r="F301" s="505">
        <f t="shared" si="16"/>
        <v>0</v>
      </c>
      <c r="G301" s="505">
        <v>675000</v>
      </c>
      <c r="H301" s="505">
        <f t="shared" si="17"/>
        <v>675</v>
      </c>
      <c r="I301" s="505">
        <v>675000</v>
      </c>
      <c r="J301" s="505">
        <f t="shared" si="18"/>
        <v>675</v>
      </c>
      <c r="K301" s="506">
        <f t="shared" si="19"/>
        <v>1</v>
      </c>
    </row>
    <row r="302" spans="1:11" ht="21.9" customHeight="1">
      <c r="A302" s="1136"/>
      <c r="B302" s="1130"/>
      <c r="C302" s="493" t="s">
        <v>3298</v>
      </c>
      <c r="D302" s="493" t="s">
        <v>3299</v>
      </c>
      <c r="E302" s="505">
        <v>0</v>
      </c>
      <c r="F302" s="505">
        <f t="shared" si="16"/>
        <v>0</v>
      </c>
      <c r="G302" s="505">
        <v>1105000</v>
      </c>
      <c r="H302" s="505">
        <f t="shared" si="17"/>
        <v>1105</v>
      </c>
      <c r="I302" s="505">
        <v>1105000</v>
      </c>
      <c r="J302" s="505">
        <f t="shared" si="18"/>
        <v>1105</v>
      </c>
      <c r="K302" s="506">
        <f t="shared" si="19"/>
        <v>1</v>
      </c>
    </row>
    <row r="303" spans="1:11" ht="21.9" customHeight="1">
      <c r="A303" s="1136" t="s">
        <v>3130</v>
      </c>
      <c r="B303" s="1130" t="s">
        <v>3131</v>
      </c>
      <c r="C303" s="493" t="s">
        <v>3072</v>
      </c>
      <c r="D303" s="493" t="s">
        <v>3073</v>
      </c>
      <c r="E303" s="505">
        <v>0</v>
      </c>
      <c r="F303" s="505">
        <f t="shared" si="16"/>
        <v>0</v>
      </c>
      <c r="G303" s="505">
        <v>2191</v>
      </c>
      <c r="H303" s="505">
        <f t="shared" si="17"/>
        <v>2.1909999999999998</v>
      </c>
      <c r="I303" s="505">
        <v>2191</v>
      </c>
      <c r="J303" s="505">
        <f t="shared" si="18"/>
        <v>2.1909999999999998</v>
      </c>
      <c r="K303" s="506">
        <f t="shared" si="19"/>
        <v>1</v>
      </c>
    </row>
    <row r="304" spans="1:11" ht="21.9" customHeight="1">
      <c r="A304" s="1136"/>
      <c r="B304" s="1130"/>
      <c r="C304" s="493" t="s">
        <v>3092</v>
      </c>
      <c r="D304" s="493" t="s">
        <v>3093</v>
      </c>
      <c r="E304" s="505">
        <v>0</v>
      </c>
      <c r="F304" s="505">
        <f t="shared" si="16"/>
        <v>0</v>
      </c>
      <c r="G304" s="505">
        <v>222000</v>
      </c>
      <c r="H304" s="505">
        <f t="shared" si="17"/>
        <v>222</v>
      </c>
      <c r="I304" s="505">
        <v>222000</v>
      </c>
      <c r="J304" s="505">
        <f t="shared" si="18"/>
        <v>222</v>
      </c>
      <c r="K304" s="506">
        <f t="shared" si="19"/>
        <v>1</v>
      </c>
    </row>
    <row r="305" spans="1:11" ht="21.9" customHeight="1">
      <c r="A305" s="1136"/>
      <c r="B305" s="1130"/>
      <c r="C305" s="493" t="s">
        <v>3074</v>
      </c>
      <c r="D305" s="493" t="s">
        <v>3075</v>
      </c>
      <c r="E305" s="505">
        <v>2000000</v>
      </c>
      <c r="F305" s="505">
        <f t="shared" si="16"/>
        <v>2000</v>
      </c>
      <c r="G305" s="505">
        <v>909245</v>
      </c>
      <c r="H305" s="505">
        <f t="shared" si="17"/>
        <v>909.245</v>
      </c>
      <c r="I305" s="505">
        <v>590590.4</v>
      </c>
      <c r="J305" s="505">
        <f t="shared" si="18"/>
        <v>590.59040000000005</v>
      </c>
      <c r="K305" s="506">
        <f t="shared" si="19"/>
        <v>0.64953934308134775</v>
      </c>
    </row>
    <row r="306" spans="1:11" ht="21.9" customHeight="1">
      <c r="A306" s="1136"/>
      <c r="B306" s="1130"/>
      <c r="C306" s="493" t="s">
        <v>3076</v>
      </c>
      <c r="D306" s="493" t="s">
        <v>3077</v>
      </c>
      <c r="E306" s="505">
        <v>0</v>
      </c>
      <c r="F306" s="505">
        <f t="shared" si="16"/>
        <v>0</v>
      </c>
      <c r="G306" s="505">
        <v>4808</v>
      </c>
      <c r="H306" s="505">
        <f t="shared" si="17"/>
        <v>4.8079999999999998</v>
      </c>
      <c r="I306" s="505">
        <v>4808</v>
      </c>
      <c r="J306" s="505">
        <f t="shared" si="18"/>
        <v>4.8079999999999998</v>
      </c>
      <c r="K306" s="506">
        <f t="shared" si="19"/>
        <v>1</v>
      </c>
    </row>
    <row r="307" spans="1:11" ht="21.9" customHeight="1">
      <c r="A307" s="1136"/>
      <c r="B307" s="1130"/>
      <c r="C307" s="493" t="s">
        <v>3116</v>
      </c>
      <c r="D307" s="493" t="s">
        <v>3117</v>
      </c>
      <c r="E307" s="505">
        <v>0</v>
      </c>
      <c r="F307" s="505">
        <f t="shared" si="16"/>
        <v>0</v>
      </c>
      <c r="G307" s="505">
        <v>39992</v>
      </c>
      <c r="H307" s="505">
        <f t="shared" si="17"/>
        <v>39.991999999999997</v>
      </c>
      <c r="I307" s="505">
        <v>39992</v>
      </c>
      <c r="J307" s="505">
        <f t="shared" si="18"/>
        <v>39.991999999999997</v>
      </c>
      <c r="K307" s="506">
        <f t="shared" si="19"/>
        <v>1</v>
      </c>
    </row>
    <row r="308" spans="1:11" ht="21.9" customHeight="1">
      <c r="A308" s="1136"/>
      <c r="B308" s="1130"/>
      <c r="C308" s="493" t="s">
        <v>3078</v>
      </c>
      <c r="D308" s="493" t="s">
        <v>3079</v>
      </c>
      <c r="E308" s="505">
        <v>0</v>
      </c>
      <c r="F308" s="505">
        <f t="shared" si="16"/>
        <v>0</v>
      </c>
      <c r="G308" s="505">
        <v>140000</v>
      </c>
      <c r="H308" s="505">
        <f t="shared" si="17"/>
        <v>140</v>
      </c>
      <c r="I308" s="505">
        <v>140000</v>
      </c>
      <c r="J308" s="505">
        <f t="shared" si="18"/>
        <v>140</v>
      </c>
      <c r="K308" s="506">
        <f t="shared" si="19"/>
        <v>1</v>
      </c>
    </row>
    <row r="309" spans="1:11" ht="21.9" customHeight="1">
      <c r="A309" s="1136"/>
      <c r="B309" s="1130"/>
      <c r="C309" s="493" t="s">
        <v>3082</v>
      </c>
      <c r="D309" s="493" t="s">
        <v>3083</v>
      </c>
      <c r="E309" s="505">
        <v>0</v>
      </c>
      <c r="F309" s="505">
        <f t="shared" si="16"/>
        <v>0</v>
      </c>
      <c r="G309" s="505">
        <v>8624000</v>
      </c>
      <c r="H309" s="505">
        <f t="shared" si="17"/>
        <v>8624</v>
      </c>
      <c r="I309" s="505">
        <v>8474000</v>
      </c>
      <c r="J309" s="505">
        <f t="shared" si="18"/>
        <v>8474</v>
      </c>
      <c r="K309" s="506">
        <f t="shared" si="19"/>
        <v>0.98260667903525045</v>
      </c>
    </row>
    <row r="310" spans="1:11" ht="21.9" customHeight="1">
      <c r="A310" s="1136"/>
      <c r="B310" s="1130"/>
      <c r="C310" s="493" t="s">
        <v>3200</v>
      </c>
      <c r="D310" s="493" t="s">
        <v>3201</v>
      </c>
      <c r="E310" s="505">
        <v>0</v>
      </c>
      <c r="F310" s="505">
        <f t="shared" si="16"/>
        <v>0</v>
      </c>
      <c r="G310" s="505">
        <v>250000</v>
      </c>
      <c r="H310" s="505">
        <f t="shared" si="17"/>
        <v>250</v>
      </c>
      <c r="I310" s="505">
        <v>250000</v>
      </c>
      <c r="J310" s="505">
        <f t="shared" si="18"/>
        <v>250</v>
      </c>
      <c r="K310" s="506">
        <f t="shared" si="19"/>
        <v>1</v>
      </c>
    </row>
    <row r="311" spans="1:11" ht="21.9" customHeight="1">
      <c r="A311" s="1136"/>
      <c r="B311" s="1130"/>
      <c r="C311" s="493" t="s">
        <v>3088</v>
      </c>
      <c r="D311" s="493" t="s">
        <v>3089</v>
      </c>
      <c r="E311" s="505">
        <v>50000000</v>
      </c>
      <c r="F311" s="505">
        <f t="shared" si="16"/>
        <v>50000</v>
      </c>
      <c r="G311" s="505">
        <v>4720000</v>
      </c>
      <c r="H311" s="505">
        <f t="shared" si="17"/>
        <v>4720</v>
      </c>
      <c r="I311" s="505">
        <v>4720000</v>
      </c>
      <c r="J311" s="505">
        <f t="shared" si="18"/>
        <v>4720</v>
      </c>
      <c r="K311" s="506">
        <f t="shared" si="19"/>
        <v>1</v>
      </c>
    </row>
    <row r="312" spans="1:11" ht="21.9" customHeight="1">
      <c r="A312" s="1136" t="s">
        <v>3332</v>
      </c>
      <c r="B312" s="1130" t="s">
        <v>3333</v>
      </c>
      <c r="C312" s="493" t="s">
        <v>3082</v>
      </c>
      <c r="D312" s="493" t="s">
        <v>3083</v>
      </c>
      <c r="E312" s="505">
        <v>0</v>
      </c>
      <c r="F312" s="505">
        <f t="shared" si="16"/>
        <v>0</v>
      </c>
      <c r="G312" s="505">
        <v>100000</v>
      </c>
      <c r="H312" s="505">
        <f t="shared" si="17"/>
        <v>100</v>
      </c>
      <c r="I312" s="505">
        <v>100000</v>
      </c>
      <c r="J312" s="505">
        <f t="shared" si="18"/>
        <v>100</v>
      </c>
      <c r="K312" s="506">
        <f t="shared" si="19"/>
        <v>1</v>
      </c>
    </row>
    <row r="313" spans="1:11" ht="21.9" customHeight="1">
      <c r="A313" s="1136"/>
      <c r="B313" s="1130"/>
      <c r="C313" s="493" t="s">
        <v>3088</v>
      </c>
      <c r="D313" s="493" t="s">
        <v>3089</v>
      </c>
      <c r="E313" s="505">
        <v>0</v>
      </c>
      <c r="F313" s="505">
        <f t="shared" si="16"/>
        <v>0</v>
      </c>
      <c r="G313" s="505">
        <v>260000</v>
      </c>
      <c r="H313" s="505">
        <f t="shared" si="17"/>
        <v>260</v>
      </c>
      <c r="I313" s="505">
        <v>260000</v>
      </c>
      <c r="J313" s="505">
        <f t="shared" si="18"/>
        <v>260</v>
      </c>
      <c r="K313" s="506">
        <f t="shared" si="19"/>
        <v>1</v>
      </c>
    </row>
    <row r="314" spans="1:11" ht="21.9" customHeight="1">
      <c r="A314" s="1136" t="s">
        <v>3176</v>
      </c>
      <c r="B314" s="1130" t="s">
        <v>3177</v>
      </c>
      <c r="C314" s="493" t="s">
        <v>3082</v>
      </c>
      <c r="D314" s="493" t="s">
        <v>3083</v>
      </c>
      <c r="E314" s="505">
        <v>0</v>
      </c>
      <c r="F314" s="505">
        <f t="shared" si="16"/>
        <v>0</v>
      </c>
      <c r="G314" s="505">
        <v>2889000</v>
      </c>
      <c r="H314" s="505">
        <f t="shared" si="17"/>
        <v>2889</v>
      </c>
      <c r="I314" s="505">
        <v>2889000</v>
      </c>
      <c r="J314" s="505">
        <f t="shared" si="18"/>
        <v>2889</v>
      </c>
      <c r="K314" s="506">
        <f t="shared" si="19"/>
        <v>1</v>
      </c>
    </row>
    <row r="315" spans="1:11" ht="19.5" customHeight="1">
      <c r="A315" s="1136"/>
      <c r="B315" s="1130"/>
      <c r="C315" s="493" t="s">
        <v>3088</v>
      </c>
      <c r="D315" s="493" t="s">
        <v>3089</v>
      </c>
      <c r="E315" s="505">
        <v>0</v>
      </c>
      <c r="F315" s="505">
        <f t="shared" si="16"/>
        <v>0</v>
      </c>
      <c r="G315" s="505">
        <v>870000</v>
      </c>
      <c r="H315" s="505">
        <f t="shared" si="17"/>
        <v>870</v>
      </c>
      <c r="I315" s="505">
        <v>870000</v>
      </c>
      <c r="J315" s="505">
        <f t="shared" si="18"/>
        <v>870</v>
      </c>
      <c r="K315" s="506">
        <f t="shared" si="19"/>
        <v>1</v>
      </c>
    </row>
    <row r="316" spans="1:11" ht="16.5" customHeight="1">
      <c r="A316" s="1137" t="s">
        <v>3334</v>
      </c>
      <c r="B316" s="1153"/>
      <c r="C316" s="1153"/>
      <c r="D316" s="1153"/>
      <c r="E316" s="507">
        <v>54700000</v>
      </c>
      <c r="F316" s="507">
        <f t="shared" si="16"/>
        <v>54700</v>
      </c>
      <c r="G316" s="507">
        <v>71155000</v>
      </c>
      <c r="H316" s="507">
        <f t="shared" si="17"/>
        <v>71155</v>
      </c>
      <c r="I316" s="507">
        <v>70214504.439999998</v>
      </c>
      <c r="J316" s="507">
        <f t="shared" si="18"/>
        <v>70214.504440000004</v>
      </c>
      <c r="K316" s="508">
        <f t="shared" si="19"/>
        <v>0.98678243890099071</v>
      </c>
    </row>
    <row r="317" spans="1:11" ht="21.9" customHeight="1">
      <c r="A317" s="1145" t="s">
        <v>1444</v>
      </c>
      <c r="B317" s="1146"/>
      <c r="C317" s="1146"/>
      <c r="D317" s="1146"/>
      <c r="E317" s="1146"/>
      <c r="F317" s="1146"/>
      <c r="G317" s="1146"/>
      <c r="H317" s="1146"/>
      <c r="I317" s="1146"/>
      <c r="J317" s="1146"/>
      <c r="K317" s="1147"/>
    </row>
    <row r="318" spans="1:11" ht="21.9" customHeight="1">
      <c r="A318" s="509" t="s">
        <v>3300</v>
      </c>
      <c r="B318" s="493" t="s">
        <v>3301</v>
      </c>
      <c r="C318" s="493" t="s">
        <v>3088</v>
      </c>
      <c r="D318" s="493" t="s">
        <v>3089</v>
      </c>
      <c r="E318" s="505">
        <v>0</v>
      </c>
      <c r="F318" s="505">
        <f t="shared" si="16"/>
        <v>0</v>
      </c>
      <c r="G318" s="505">
        <v>650000</v>
      </c>
      <c r="H318" s="505">
        <f t="shared" si="17"/>
        <v>650</v>
      </c>
      <c r="I318" s="505">
        <v>650000</v>
      </c>
      <c r="J318" s="505">
        <f t="shared" si="18"/>
        <v>650</v>
      </c>
      <c r="K318" s="506">
        <f t="shared" si="19"/>
        <v>1</v>
      </c>
    </row>
    <row r="319" spans="1:11" ht="21.9" customHeight="1">
      <c r="A319" s="1136" t="s">
        <v>3335</v>
      </c>
      <c r="B319" s="1130" t="s">
        <v>3336</v>
      </c>
      <c r="C319" s="493" t="s">
        <v>3212</v>
      </c>
      <c r="D319" s="493" t="s">
        <v>3213</v>
      </c>
      <c r="E319" s="505">
        <v>3100000</v>
      </c>
      <c r="F319" s="505">
        <f t="shared" si="16"/>
        <v>3100</v>
      </c>
      <c r="G319" s="505">
        <v>1500000</v>
      </c>
      <c r="H319" s="505">
        <f t="shared" si="17"/>
        <v>1500</v>
      </c>
      <c r="I319" s="505">
        <v>1500000</v>
      </c>
      <c r="J319" s="505">
        <f t="shared" si="18"/>
        <v>1500</v>
      </c>
      <c r="K319" s="506">
        <f t="shared" si="19"/>
        <v>1</v>
      </c>
    </row>
    <row r="320" spans="1:11" ht="21.9" customHeight="1">
      <c r="A320" s="1136"/>
      <c r="B320" s="1130"/>
      <c r="C320" s="493" t="s">
        <v>3124</v>
      </c>
      <c r="D320" s="493" t="s">
        <v>3125</v>
      </c>
      <c r="E320" s="505">
        <v>0</v>
      </c>
      <c r="F320" s="505">
        <f t="shared" si="16"/>
        <v>0</v>
      </c>
      <c r="G320" s="505">
        <v>595000</v>
      </c>
      <c r="H320" s="505">
        <f t="shared" si="17"/>
        <v>595</v>
      </c>
      <c r="I320" s="505">
        <v>595000</v>
      </c>
      <c r="J320" s="505">
        <f t="shared" si="18"/>
        <v>595</v>
      </c>
      <c r="K320" s="506">
        <f t="shared" si="19"/>
        <v>1</v>
      </c>
    </row>
    <row r="321" spans="1:11" ht="21.9" customHeight="1">
      <c r="A321" s="1136"/>
      <c r="B321" s="1130"/>
      <c r="C321" s="493" t="s">
        <v>3214</v>
      </c>
      <c r="D321" s="493" t="s">
        <v>3215</v>
      </c>
      <c r="E321" s="505">
        <v>0</v>
      </c>
      <c r="F321" s="505">
        <f t="shared" si="16"/>
        <v>0</v>
      </c>
      <c r="G321" s="505">
        <v>510000</v>
      </c>
      <c r="H321" s="505">
        <f t="shared" si="17"/>
        <v>510</v>
      </c>
      <c r="I321" s="505">
        <v>510000</v>
      </c>
      <c r="J321" s="505">
        <f t="shared" si="18"/>
        <v>510</v>
      </c>
      <c r="K321" s="506">
        <f t="shared" si="19"/>
        <v>1</v>
      </c>
    </row>
    <row r="322" spans="1:11" ht="21.9" customHeight="1">
      <c r="A322" s="1136"/>
      <c r="B322" s="1130"/>
      <c r="C322" s="493" t="s">
        <v>3078</v>
      </c>
      <c r="D322" s="493" t="s">
        <v>3079</v>
      </c>
      <c r="E322" s="505">
        <v>0</v>
      </c>
      <c r="F322" s="505">
        <f t="shared" si="16"/>
        <v>0</v>
      </c>
      <c r="G322" s="505">
        <v>495000</v>
      </c>
      <c r="H322" s="505">
        <f t="shared" si="17"/>
        <v>495</v>
      </c>
      <c r="I322" s="505">
        <v>495000</v>
      </c>
      <c r="J322" s="505">
        <f t="shared" si="18"/>
        <v>495</v>
      </c>
      <c r="K322" s="506">
        <f t="shared" si="19"/>
        <v>1</v>
      </c>
    </row>
    <row r="323" spans="1:11" ht="21.9" customHeight="1">
      <c r="A323" s="1136" t="s">
        <v>3337</v>
      </c>
      <c r="B323" s="1130" t="s">
        <v>3338</v>
      </c>
      <c r="C323" s="493" t="s">
        <v>3212</v>
      </c>
      <c r="D323" s="493" t="s">
        <v>3213</v>
      </c>
      <c r="E323" s="505">
        <v>0</v>
      </c>
      <c r="F323" s="505">
        <f t="shared" si="16"/>
        <v>0</v>
      </c>
      <c r="G323" s="505">
        <v>40000</v>
      </c>
      <c r="H323" s="505">
        <f t="shared" si="17"/>
        <v>40</v>
      </c>
      <c r="I323" s="505">
        <v>40000</v>
      </c>
      <c r="J323" s="505">
        <f t="shared" si="18"/>
        <v>40</v>
      </c>
      <c r="K323" s="506">
        <f t="shared" si="19"/>
        <v>1</v>
      </c>
    </row>
    <row r="324" spans="1:11" ht="21.9" customHeight="1">
      <c r="A324" s="1136"/>
      <c r="B324" s="1130"/>
      <c r="C324" s="493" t="s">
        <v>3124</v>
      </c>
      <c r="D324" s="493" t="s">
        <v>3125</v>
      </c>
      <c r="E324" s="505">
        <v>0</v>
      </c>
      <c r="F324" s="505">
        <f t="shared" si="16"/>
        <v>0</v>
      </c>
      <c r="G324" s="505">
        <v>260000</v>
      </c>
      <c r="H324" s="505">
        <f t="shared" si="17"/>
        <v>260</v>
      </c>
      <c r="I324" s="505">
        <v>260000</v>
      </c>
      <c r="J324" s="505">
        <f t="shared" si="18"/>
        <v>260</v>
      </c>
      <c r="K324" s="506">
        <f t="shared" si="19"/>
        <v>1</v>
      </c>
    </row>
    <row r="325" spans="1:11" ht="21.9" customHeight="1">
      <c r="A325" s="1136" t="s">
        <v>3337</v>
      </c>
      <c r="B325" s="1130" t="s">
        <v>3338</v>
      </c>
      <c r="C325" s="493" t="s">
        <v>3214</v>
      </c>
      <c r="D325" s="493" t="s">
        <v>3215</v>
      </c>
      <c r="E325" s="505">
        <v>0</v>
      </c>
      <c r="F325" s="505">
        <f t="shared" si="16"/>
        <v>0</v>
      </c>
      <c r="G325" s="505">
        <v>60000</v>
      </c>
      <c r="H325" s="505">
        <f t="shared" si="17"/>
        <v>60</v>
      </c>
      <c r="I325" s="505">
        <v>60000</v>
      </c>
      <c r="J325" s="505">
        <f t="shared" si="18"/>
        <v>60</v>
      </c>
      <c r="K325" s="506">
        <f t="shared" si="19"/>
        <v>1</v>
      </c>
    </row>
    <row r="326" spans="1:11" ht="21.9" customHeight="1">
      <c r="A326" s="1136"/>
      <c r="B326" s="1130"/>
      <c r="C326" s="493" t="s">
        <v>3198</v>
      </c>
      <c r="D326" s="493" t="s">
        <v>3199</v>
      </c>
      <c r="E326" s="505">
        <v>0</v>
      </c>
      <c r="F326" s="505">
        <f t="shared" si="16"/>
        <v>0</v>
      </c>
      <c r="G326" s="505">
        <v>135000</v>
      </c>
      <c r="H326" s="505">
        <f t="shared" si="17"/>
        <v>135</v>
      </c>
      <c r="I326" s="505">
        <v>135000</v>
      </c>
      <c r="J326" s="505">
        <f t="shared" si="18"/>
        <v>135</v>
      </c>
      <c r="K326" s="506">
        <f t="shared" si="19"/>
        <v>1</v>
      </c>
    </row>
    <row r="327" spans="1:11" ht="21.9" customHeight="1">
      <c r="A327" s="1136" t="s">
        <v>3339</v>
      </c>
      <c r="B327" s="1130" t="s">
        <v>3340</v>
      </c>
      <c r="C327" s="493" t="s">
        <v>3082</v>
      </c>
      <c r="D327" s="493" t="s">
        <v>3083</v>
      </c>
      <c r="E327" s="505">
        <v>0</v>
      </c>
      <c r="F327" s="505">
        <f t="shared" ref="F327:F390" si="20">E327/1000</f>
        <v>0</v>
      </c>
      <c r="G327" s="505">
        <v>2283264</v>
      </c>
      <c r="H327" s="505">
        <f t="shared" ref="H327:H390" si="21">G327/1000</f>
        <v>2283.2640000000001</v>
      </c>
      <c r="I327" s="505">
        <v>2283264</v>
      </c>
      <c r="J327" s="505">
        <f t="shared" ref="J327:J390" si="22">I327/1000</f>
        <v>2283.2640000000001</v>
      </c>
      <c r="K327" s="506">
        <f t="shared" ref="K327:K390" si="23">I327/G327</f>
        <v>1</v>
      </c>
    </row>
    <row r="328" spans="1:11" ht="21.9" customHeight="1">
      <c r="A328" s="1136"/>
      <c r="B328" s="1130"/>
      <c r="C328" s="493" t="s">
        <v>3096</v>
      </c>
      <c r="D328" s="493" t="s">
        <v>3097</v>
      </c>
      <c r="E328" s="505">
        <v>0</v>
      </c>
      <c r="F328" s="505">
        <f t="shared" si="20"/>
        <v>0</v>
      </c>
      <c r="G328" s="505">
        <v>9566175</v>
      </c>
      <c r="H328" s="505">
        <f t="shared" si="21"/>
        <v>9566.1749999999993</v>
      </c>
      <c r="I328" s="505">
        <v>9566175</v>
      </c>
      <c r="J328" s="505">
        <f t="shared" si="22"/>
        <v>9566.1749999999993</v>
      </c>
      <c r="K328" s="506">
        <f t="shared" si="23"/>
        <v>1</v>
      </c>
    </row>
    <row r="329" spans="1:11" ht="21.9" customHeight="1">
      <c r="A329" s="509" t="s">
        <v>3341</v>
      </c>
      <c r="B329" s="493" t="s">
        <v>3342</v>
      </c>
      <c r="C329" s="493" t="s">
        <v>3124</v>
      </c>
      <c r="D329" s="493" t="s">
        <v>3125</v>
      </c>
      <c r="E329" s="505">
        <v>0</v>
      </c>
      <c r="F329" s="505">
        <f t="shared" si="20"/>
        <v>0</v>
      </c>
      <c r="G329" s="505">
        <v>60000</v>
      </c>
      <c r="H329" s="505">
        <f t="shared" si="21"/>
        <v>60</v>
      </c>
      <c r="I329" s="505">
        <v>60000</v>
      </c>
      <c r="J329" s="505">
        <f t="shared" si="22"/>
        <v>60</v>
      </c>
      <c r="K329" s="506">
        <f t="shared" si="23"/>
        <v>1</v>
      </c>
    </row>
    <row r="330" spans="1:11" ht="21.9" customHeight="1">
      <c r="A330" s="1136" t="s">
        <v>3270</v>
      </c>
      <c r="B330" s="1130" t="s">
        <v>3271</v>
      </c>
      <c r="C330" s="493" t="s">
        <v>3072</v>
      </c>
      <c r="D330" s="493" t="s">
        <v>3073</v>
      </c>
      <c r="E330" s="505">
        <v>2000</v>
      </c>
      <c r="F330" s="505">
        <f t="shared" si="20"/>
        <v>2</v>
      </c>
      <c r="G330" s="505">
        <v>8000</v>
      </c>
      <c r="H330" s="505">
        <f t="shared" si="21"/>
        <v>8</v>
      </c>
      <c r="I330" s="505">
        <v>6238</v>
      </c>
      <c r="J330" s="505">
        <f t="shared" si="22"/>
        <v>6.2380000000000004</v>
      </c>
      <c r="K330" s="506">
        <f t="shared" si="23"/>
        <v>0.77975000000000005</v>
      </c>
    </row>
    <row r="331" spans="1:11" ht="21.9" customHeight="1">
      <c r="A331" s="1136"/>
      <c r="B331" s="1130"/>
      <c r="C331" s="493" t="s">
        <v>3156</v>
      </c>
      <c r="D331" s="493" t="s">
        <v>3157</v>
      </c>
      <c r="E331" s="505">
        <v>0</v>
      </c>
      <c r="F331" s="505">
        <f t="shared" si="20"/>
        <v>0</v>
      </c>
      <c r="G331" s="505">
        <v>2350</v>
      </c>
      <c r="H331" s="505">
        <f t="shared" si="21"/>
        <v>2.35</v>
      </c>
      <c r="I331" s="505">
        <v>2350</v>
      </c>
      <c r="J331" s="505">
        <f t="shared" si="22"/>
        <v>2.35</v>
      </c>
      <c r="K331" s="506">
        <f t="shared" si="23"/>
        <v>1</v>
      </c>
    </row>
    <row r="332" spans="1:11" ht="21.9" customHeight="1">
      <c r="A332" s="1136"/>
      <c r="B332" s="1130"/>
      <c r="C332" s="493" t="s">
        <v>3074</v>
      </c>
      <c r="D332" s="493" t="s">
        <v>3075</v>
      </c>
      <c r="E332" s="505">
        <v>498000</v>
      </c>
      <c r="F332" s="505">
        <f t="shared" si="20"/>
        <v>498</v>
      </c>
      <c r="G332" s="505">
        <v>385650</v>
      </c>
      <c r="H332" s="505">
        <f t="shared" si="21"/>
        <v>385.65</v>
      </c>
      <c r="I332" s="505">
        <v>285033.59999999998</v>
      </c>
      <c r="J332" s="505">
        <f t="shared" si="22"/>
        <v>285.03359999999998</v>
      </c>
      <c r="K332" s="506">
        <f t="shared" si="23"/>
        <v>0.73909918319719947</v>
      </c>
    </row>
    <row r="333" spans="1:11" ht="21.9" customHeight="1">
      <c r="A333" s="1136"/>
      <c r="B333" s="1130"/>
      <c r="C333" s="493" t="s">
        <v>3076</v>
      </c>
      <c r="D333" s="493" t="s">
        <v>3077</v>
      </c>
      <c r="E333" s="505">
        <v>30000</v>
      </c>
      <c r="F333" s="505">
        <f t="shared" si="20"/>
        <v>30</v>
      </c>
      <c r="G333" s="505">
        <v>30000</v>
      </c>
      <c r="H333" s="505">
        <f t="shared" si="21"/>
        <v>30</v>
      </c>
      <c r="I333" s="505">
        <v>28326</v>
      </c>
      <c r="J333" s="505">
        <f t="shared" si="22"/>
        <v>28.326000000000001</v>
      </c>
      <c r="K333" s="506">
        <f t="shared" si="23"/>
        <v>0.94420000000000004</v>
      </c>
    </row>
    <row r="334" spans="1:11" ht="21.9" customHeight="1">
      <c r="A334" s="1136"/>
      <c r="B334" s="1130"/>
      <c r="C334" s="493" t="s">
        <v>3124</v>
      </c>
      <c r="D334" s="493" t="s">
        <v>3125</v>
      </c>
      <c r="E334" s="505">
        <v>0</v>
      </c>
      <c r="F334" s="505">
        <f t="shared" si="20"/>
        <v>0</v>
      </c>
      <c r="G334" s="505">
        <v>366000</v>
      </c>
      <c r="H334" s="505">
        <f t="shared" si="21"/>
        <v>366</v>
      </c>
      <c r="I334" s="505">
        <v>366000</v>
      </c>
      <c r="J334" s="505">
        <f t="shared" si="22"/>
        <v>366</v>
      </c>
      <c r="K334" s="506">
        <f t="shared" si="23"/>
        <v>1</v>
      </c>
    </row>
    <row r="335" spans="1:11" ht="21.9" customHeight="1">
      <c r="A335" s="1136"/>
      <c r="B335" s="1130"/>
      <c r="C335" s="493" t="s">
        <v>3214</v>
      </c>
      <c r="D335" s="493" t="s">
        <v>3215</v>
      </c>
      <c r="E335" s="505">
        <v>0</v>
      </c>
      <c r="F335" s="505">
        <f t="shared" si="20"/>
        <v>0</v>
      </c>
      <c r="G335" s="505">
        <v>84000</v>
      </c>
      <c r="H335" s="505">
        <f t="shared" si="21"/>
        <v>84</v>
      </c>
      <c r="I335" s="505">
        <v>84000</v>
      </c>
      <c r="J335" s="505">
        <f t="shared" si="22"/>
        <v>84</v>
      </c>
      <c r="K335" s="506">
        <f t="shared" si="23"/>
        <v>1</v>
      </c>
    </row>
    <row r="336" spans="1:11" ht="21.9" customHeight="1">
      <c r="A336" s="1136"/>
      <c r="B336" s="1130"/>
      <c r="C336" s="493" t="s">
        <v>3082</v>
      </c>
      <c r="D336" s="493" t="s">
        <v>3083</v>
      </c>
      <c r="E336" s="505">
        <v>0</v>
      </c>
      <c r="F336" s="505">
        <f t="shared" si="20"/>
        <v>0</v>
      </c>
      <c r="G336" s="505">
        <v>20000</v>
      </c>
      <c r="H336" s="505">
        <f t="shared" si="21"/>
        <v>20</v>
      </c>
      <c r="I336" s="505">
        <v>20000</v>
      </c>
      <c r="J336" s="505">
        <f t="shared" si="22"/>
        <v>20</v>
      </c>
      <c r="K336" s="506">
        <f t="shared" si="23"/>
        <v>1</v>
      </c>
    </row>
    <row r="337" spans="1:11" ht="21.9" customHeight="1">
      <c r="A337" s="1136" t="s">
        <v>3343</v>
      </c>
      <c r="B337" s="1130" t="s">
        <v>3344</v>
      </c>
      <c r="C337" s="493" t="s">
        <v>3212</v>
      </c>
      <c r="D337" s="493" t="s">
        <v>3213</v>
      </c>
      <c r="E337" s="505">
        <v>0</v>
      </c>
      <c r="F337" s="505">
        <f t="shared" si="20"/>
        <v>0</v>
      </c>
      <c r="G337" s="505">
        <v>20000</v>
      </c>
      <c r="H337" s="505">
        <f t="shared" si="21"/>
        <v>20</v>
      </c>
      <c r="I337" s="505">
        <v>20000</v>
      </c>
      <c r="J337" s="505">
        <f t="shared" si="22"/>
        <v>20</v>
      </c>
      <c r="K337" s="506">
        <f t="shared" si="23"/>
        <v>1</v>
      </c>
    </row>
    <row r="338" spans="1:11" ht="21.9" customHeight="1">
      <c r="A338" s="1136"/>
      <c r="B338" s="1130"/>
      <c r="C338" s="493" t="s">
        <v>3124</v>
      </c>
      <c r="D338" s="493" t="s">
        <v>3125</v>
      </c>
      <c r="E338" s="505">
        <v>0</v>
      </c>
      <c r="F338" s="505">
        <f t="shared" si="20"/>
        <v>0</v>
      </c>
      <c r="G338" s="505">
        <v>40000</v>
      </c>
      <c r="H338" s="505">
        <f t="shared" si="21"/>
        <v>40</v>
      </c>
      <c r="I338" s="505">
        <v>40000</v>
      </c>
      <c r="J338" s="505">
        <f t="shared" si="22"/>
        <v>40</v>
      </c>
      <c r="K338" s="506">
        <f t="shared" si="23"/>
        <v>1</v>
      </c>
    </row>
    <row r="339" spans="1:11" ht="21.9" customHeight="1">
      <c r="A339" s="1136"/>
      <c r="B339" s="1130"/>
      <c r="C339" s="493" t="s">
        <v>3214</v>
      </c>
      <c r="D339" s="493" t="s">
        <v>3215</v>
      </c>
      <c r="E339" s="505">
        <v>0</v>
      </c>
      <c r="F339" s="505">
        <f t="shared" si="20"/>
        <v>0</v>
      </c>
      <c r="G339" s="505">
        <v>86000</v>
      </c>
      <c r="H339" s="505">
        <f t="shared" si="21"/>
        <v>86</v>
      </c>
      <c r="I339" s="505">
        <v>86000</v>
      </c>
      <c r="J339" s="505">
        <f t="shared" si="22"/>
        <v>86</v>
      </c>
      <c r="K339" s="506">
        <f t="shared" si="23"/>
        <v>1</v>
      </c>
    </row>
    <row r="340" spans="1:11" ht="21.9" customHeight="1">
      <c r="A340" s="1136"/>
      <c r="B340" s="1130"/>
      <c r="C340" s="493" t="s">
        <v>3345</v>
      </c>
      <c r="D340" s="493" t="s">
        <v>3346</v>
      </c>
      <c r="E340" s="505">
        <v>0</v>
      </c>
      <c r="F340" s="505">
        <f t="shared" si="20"/>
        <v>0</v>
      </c>
      <c r="G340" s="505">
        <v>32000</v>
      </c>
      <c r="H340" s="505">
        <f t="shared" si="21"/>
        <v>32</v>
      </c>
      <c r="I340" s="505">
        <v>32000</v>
      </c>
      <c r="J340" s="505">
        <f t="shared" si="22"/>
        <v>32</v>
      </c>
      <c r="K340" s="506">
        <f t="shared" si="23"/>
        <v>1</v>
      </c>
    </row>
    <row r="341" spans="1:11" ht="21.9" customHeight="1">
      <c r="A341" s="1136"/>
      <c r="B341" s="1130"/>
      <c r="C341" s="493" t="s">
        <v>3198</v>
      </c>
      <c r="D341" s="493" t="s">
        <v>3199</v>
      </c>
      <c r="E341" s="505">
        <v>0</v>
      </c>
      <c r="F341" s="505">
        <f t="shared" si="20"/>
        <v>0</v>
      </c>
      <c r="G341" s="505">
        <v>336000</v>
      </c>
      <c r="H341" s="505">
        <f t="shared" si="21"/>
        <v>336</v>
      </c>
      <c r="I341" s="505">
        <v>336000</v>
      </c>
      <c r="J341" s="505">
        <f t="shared" si="22"/>
        <v>336</v>
      </c>
      <c r="K341" s="506">
        <f t="shared" si="23"/>
        <v>1</v>
      </c>
    </row>
    <row r="342" spans="1:11" ht="21.9" customHeight="1">
      <c r="A342" s="1136"/>
      <c r="B342" s="1130"/>
      <c r="C342" s="493" t="s">
        <v>3347</v>
      </c>
      <c r="D342" s="493" t="s">
        <v>3348</v>
      </c>
      <c r="E342" s="505">
        <v>0</v>
      </c>
      <c r="F342" s="505">
        <f t="shared" si="20"/>
        <v>0</v>
      </c>
      <c r="G342" s="505">
        <v>63000</v>
      </c>
      <c r="H342" s="505">
        <f t="shared" si="21"/>
        <v>63</v>
      </c>
      <c r="I342" s="505">
        <v>63000</v>
      </c>
      <c r="J342" s="505">
        <f t="shared" si="22"/>
        <v>63</v>
      </c>
      <c r="K342" s="506">
        <f t="shared" si="23"/>
        <v>1</v>
      </c>
    </row>
    <row r="343" spans="1:11" ht="21.9" customHeight="1">
      <c r="A343" s="1136" t="s">
        <v>3349</v>
      </c>
      <c r="B343" s="1130" t="s">
        <v>3350</v>
      </c>
      <c r="C343" s="493" t="s">
        <v>3165</v>
      </c>
      <c r="D343" s="493" t="s">
        <v>3166</v>
      </c>
      <c r="E343" s="505">
        <v>0</v>
      </c>
      <c r="F343" s="505">
        <f t="shared" si="20"/>
        <v>0</v>
      </c>
      <c r="G343" s="505">
        <v>112856.76</v>
      </c>
      <c r="H343" s="505">
        <f t="shared" si="21"/>
        <v>112.85675999999999</v>
      </c>
      <c r="I343" s="505">
        <v>72775.759999999995</v>
      </c>
      <c r="J343" s="505">
        <f t="shared" si="22"/>
        <v>72.775759999999991</v>
      </c>
      <c r="K343" s="506">
        <f t="shared" si="23"/>
        <v>0.64485069392387306</v>
      </c>
    </row>
    <row r="344" spans="1:11" ht="21.9" customHeight="1">
      <c r="A344" s="1136"/>
      <c r="B344" s="1130"/>
      <c r="C344" s="493" t="s">
        <v>3072</v>
      </c>
      <c r="D344" s="493" t="s">
        <v>3073</v>
      </c>
      <c r="E344" s="505">
        <v>0</v>
      </c>
      <c r="F344" s="505">
        <f t="shared" si="20"/>
        <v>0</v>
      </c>
      <c r="G344" s="505">
        <v>149143.24</v>
      </c>
      <c r="H344" s="505">
        <f t="shared" si="21"/>
        <v>149.14323999999999</v>
      </c>
      <c r="I344" s="505">
        <v>122521.24</v>
      </c>
      <c r="J344" s="505">
        <f t="shared" si="22"/>
        <v>122.52124000000001</v>
      </c>
      <c r="K344" s="506">
        <f t="shared" si="23"/>
        <v>0.82150045821721462</v>
      </c>
    </row>
    <row r="345" spans="1:11" ht="21.9" customHeight="1">
      <c r="A345" s="1136"/>
      <c r="B345" s="1130"/>
      <c r="C345" s="493" t="s">
        <v>3082</v>
      </c>
      <c r="D345" s="493" t="s">
        <v>3083</v>
      </c>
      <c r="E345" s="505">
        <v>300000</v>
      </c>
      <c r="F345" s="505">
        <f t="shared" si="20"/>
        <v>300</v>
      </c>
      <c r="G345" s="505">
        <v>292590</v>
      </c>
      <c r="H345" s="505">
        <f t="shared" si="21"/>
        <v>292.58999999999997</v>
      </c>
      <c r="I345" s="505">
        <v>292590</v>
      </c>
      <c r="J345" s="505">
        <f t="shared" si="22"/>
        <v>292.58999999999997</v>
      </c>
      <c r="K345" s="506">
        <f t="shared" si="23"/>
        <v>1</v>
      </c>
    </row>
    <row r="346" spans="1:11" ht="21.9" customHeight="1">
      <c r="A346" s="1136"/>
      <c r="B346" s="1130"/>
      <c r="C346" s="493" t="s">
        <v>3102</v>
      </c>
      <c r="D346" s="493" t="s">
        <v>1485</v>
      </c>
      <c r="E346" s="505">
        <v>0</v>
      </c>
      <c r="F346" s="505">
        <f t="shared" si="20"/>
        <v>0</v>
      </c>
      <c r="G346" s="505">
        <v>366000</v>
      </c>
      <c r="H346" s="505">
        <f t="shared" si="21"/>
        <v>366</v>
      </c>
      <c r="I346" s="505">
        <v>314514</v>
      </c>
      <c r="J346" s="505">
        <f t="shared" si="22"/>
        <v>314.51400000000001</v>
      </c>
      <c r="K346" s="506">
        <f t="shared" si="23"/>
        <v>0.85932786885245904</v>
      </c>
    </row>
    <row r="347" spans="1:11" ht="21.9" customHeight="1">
      <c r="A347" s="1136"/>
      <c r="B347" s="1130"/>
      <c r="C347" s="493" t="s">
        <v>3169</v>
      </c>
      <c r="D347" s="493" t="s">
        <v>1482</v>
      </c>
      <c r="E347" s="505">
        <v>0</v>
      </c>
      <c r="F347" s="505">
        <f t="shared" si="20"/>
        <v>0</v>
      </c>
      <c r="G347" s="505">
        <v>518000</v>
      </c>
      <c r="H347" s="505">
        <f t="shared" si="21"/>
        <v>518</v>
      </c>
      <c r="I347" s="505">
        <v>518000</v>
      </c>
      <c r="J347" s="505">
        <f t="shared" si="22"/>
        <v>518</v>
      </c>
      <c r="K347" s="506">
        <f t="shared" si="23"/>
        <v>1</v>
      </c>
    </row>
    <row r="348" spans="1:11" ht="21.9" customHeight="1">
      <c r="A348" s="1136" t="s">
        <v>3351</v>
      </c>
      <c r="B348" s="1130" t="s">
        <v>3352</v>
      </c>
      <c r="C348" s="493" t="s">
        <v>3183</v>
      </c>
      <c r="D348" s="493" t="s">
        <v>3184</v>
      </c>
      <c r="E348" s="505">
        <v>0</v>
      </c>
      <c r="F348" s="505">
        <f t="shared" si="20"/>
        <v>0</v>
      </c>
      <c r="G348" s="505">
        <v>100000</v>
      </c>
      <c r="H348" s="505">
        <f t="shared" si="21"/>
        <v>100</v>
      </c>
      <c r="I348" s="505">
        <v>100000</v>
      </c>
      <c r="J348" s="505">
        <f t="shared" si="22"/>
        <v>100</v>
      </c>
      <c r="K348" s="506">
        <f t="shared" si="23"/>
        <v>1</v>
      </c>
    </row>
    <row r="349" spans="1:11" ht="21.9" customHeight="1">
      <c r="A349" s="1136"/>
      <c r="B349" s="1130"/>
      <c r="C349" s="493" t="s">
        <v>3214</v>
      </c>
      <c r="D349" s="493" t="s">
        <v>3215</v>
      </c>
      <c r="E349" s="505">
        <v>0</v>
      </c>
      <c r="F349" s="505">
        <f t="shared" si="20"/>
        <v>0</v>
      </c>
      <c r="G349" s="505">
        <v>500000</v>
      </c>
      <c r="H349" s="505">
        <f t="shared" si="21"/>
        <v>500</v>
      </c>
      <c r="I349" s="505">
        <v>500000</v>
      </c>
      <c r="J349" s="505">
        <f t="shared" si="22"/>
        <v>500</v>
      </c>
      <c r="K349" s="506">
        <f t="shared" si="23"/>
        <v>1</v>
      </c>
    </row>
    <row r="350" spans="1:11" ht="21.9" customHeight="1">
      <c r="A350" s="1136"/>
      <c r="B350" s="1130"/>
      <c r="C350" s="493" t="s">
        <v>3082</v>
      </c>
      <c r="D350" s="493" t="s">
        <v>3083</v>
      </c>
      <c r="E350" s="505">
        <v>0</v>
      </c>
      <c r="F350" s="505">
        <f t="shared" si="20"/>
        <v>0</v>
      </c>
      <c r="G350" s="505">
        <v>3020000</v>
      </c>
      <c r="H350" s="505">
        <f t="shared" si="21"/>
        <v>3020</v>
      </c>
      <c r="I350" s="505">
        <v>3020000</v>
      </c>
      <c r="J350" s="505">
        <f t="shared" si="22"/>
        <v>3020</v>
      </c>
      <c r="K350" s="506">
        <f t="shared" si="23"/>
        <v>1</v>
      </c>
    </row>
    <row r="351" spans="1:11" ht="21.9" customHeight="1">
      <c r="A351" s="1136"/>
      <c r="B351" s="1130"/>
      <c r="C351" s="493" t="s">
        <v>3194</v>
      </c>
      <c r="D351" s="493" t="s">
        <v>3195</v>
      </c>
      <c r="E351" s="505">
        <v>0</v>
      </c>
      <c r="F351" s="505">
        <f t="shared" si="20"/>
        <v>0</v>
      </c>
      <c r="G351" s="505">
        <v>150000</v>
      </c>
      <c r="H351" s="505">
        <f t="shared" si="21"/>
        <v>150</v>
      </c>
      <c r="I351" s="505">
        <v>150000</v>
      </c>
      <c r="J351" s="505">
        <f t="shared" si="22"/>
        <v>150</v>
      </c>
      <c r="K351" s="506">
        <f t="shared" si="23"/>
        <v>1</v>
      </c>
    </row>
    <row r="352" spans="1:11" ht="21.9" customHeight="1">
      <c r="A352" s="1136"/>
      <c r="B352" s="1130"/>
      <c r="C352" s="493" t="s">
        <v>3347</v>
      </c>
      <c r="D352" s="493" t="s">
        <v>3348</v>
      </c>
      <c r="E352" s="505">
        <v>0</v>
      </c>
      <c r="F352" s="505">
        <f t="shared" si="20"/>
        <v>0</v>
      </c>
      <c r="G352" s="505">
        <v>126000</v>
      </c>
      <c r="H352" s="505">
        <f t="shared" si="21"/>
        <v>126</v>
      </c>
      <c r="I352" s="505">
        <v>126000</v>
      </c>
      <c r="J352" s="505">
        <f t="shared" si="22"/>
        <v>126</v>
      </c>
      <c r="K352" s="506">
        <f t="shared" si="23"/>
        <v>1</v>
      </c>
    </row>
    <row r="353" spans="1:11" ht="21.9" customHeight="1">
      <c r="A353" s="509" t="s">
        <v>3353</v>
      </c>
      <c r="B353" s="493" t="s">
        <v>3354</v>
      </c>
      <c r="C353" s="493" t="s">
        <v>3183</v>
      </c>
      <c r="D353" s="493" t="s">
        <v>3184</v>
      </c>
      <c r="E353" s="505">
        <v>0</v>
      </c>
      <c r="F353" s="505">
        <f t="shared" si="20"/>
        <v>0</v>
      </c>
      <c r="G353" s="505">
        <v>30000</v>
      </c>
      <c r="H353" s="505">
        <f t="shared" si="21"/>
        <v>30</v>
      </c>
      <c r="I353" s="505">
        <v>30000</v>
      </c>
      <c r="J353" s="505">
        <f t="shared" si="22"/>
        <v>30</v>
      </c>
      <c r="K353" s="506">
        <f t="shared" si="23"/>
        <v>1</v>
      </c>
    </row>
    <row r="354" spans="1:11" ht="21.9" customHeight="1">
      <c r="A354" s="1136" t="s">
        <v>3355</v>
      </c>
      <c r="B354" s="1130" t="s">
        <v>3356</v>
      </c>
      <c r="C354" s="493" t="s">
        <v>3212</v>
      </c>
      <c r="D354" s="493" t="s">
        <v>3213</v>
      </c>
      <c r="E354" s="505">
        <v>0</v>
      </c>
      <c r="F354" s="505">
        <f t="shared" si="20"/>
        <v>0</v>
      </c>
      <c r="G354" s="505">
        <v>30000</v>
      </c>
      <c r="H354" s="505">
        <f t="shared" si="21"/>
        <v>30</v>
      </c>
      <c r="I354" s="505">
        <v>30000</v>
      </c>
      <c r="J354" s="505">
        <f t="shared" si="22"/>
        <v>30</v>
      </c>
      <c r="K354" s="506">
        <f t="shared" si="23"/>
        <v>1</v>
      </c>
    </row>
    <row r="355" spans="1:11" ht="21.9" customHeight="1">
      <c r="A355" s="1136"/>
      <c r="B355" s="1130"/>
      <c r="C355" s="493" t="s">
        <v>3124</v>
      </c>
      <c r="D355" s="493" t="s">
        <v>3125</v>
      </c>
      <c r="E355" s="505">
        <v>0</v>
      </c>
      <c r="F355" s="505">
        <f t="shared" si="20"/>
        <v>0</v>
      </c>
      <c r="G355" s="505">
        <v>30000</v>
      </c>
      <c r="H355" s="505">
        <f t="shared" si="21"/>
        <v>30</v>
      </c>
      <c r="I355" s="505">
        <v>30000</v>
      </c>
      <c r="J355" s="505">
        <f t="shared" si="22"/>
        <v>30</v>
      </c>
      <c r="K355" s="506">
        <f t="shared" si="23"/>
        <v>1</v>
      </c>
    </row>
    <row r="356" spans="1:11" ht="21.9" customHeight="1">
      <c r="A356" s="1136" t="s">
        <v>3357</v>
      </c>
      <c r="B356" s="1130" t="s">
        <v>3358</v>
      </c>
      <c r="C356" s="493" t="s">
        <v>3124</v>
      </c>
      <c r="D356" s="493" t="s">
        <v>3125</v>
      </c>
      <c r="E356" s="505">
        <v>0</v>
      </c>
      <c r="F356" s="505">
        <f t="shared" si="20"/>
        <v>0</v>
      </c>
      <c r="G356" s="505">
        <v>20000</v>
      </c>
      <c r="H356" s="505">
        <f t="shared" si="21"/>
        <v>20</v>
      </c>
      <c r="I356" s="505">
        <v>20000</v>
      </c>
      <c r="J356" s="505">
        <f t="shared" si="22"/>
        <v>20</v>
      </c>
      <c r="K356" s="506">
        <f t="shared" si="23"/>
        <v>1</v>
      </c>
    </row>
    <row r="357" spans="1:11" ht="21.9" customHeight="1">
      <c r="A357" s="1136"/>
      <c r="B357" s="1130"/>
      <c r="C357" s="493" t="s">
        <v>3214</v>
      </c>
      <c r="D357" s="493" t="s">
        <v>3215</v>
      </c>
      <c r="E357" s="505">
        <v>0</v>
      </c>
      <c r="F357" s="505">
        <f t="shared" si="20"/>
        <v>0</v>
      </c>
      <c r="G357" s="505">
        <v>30000</v>
      </c>
      <c r="H357" s="505">
        <f t="shared" si="21"/>
        <v>30</v>
      </c>
      <c r="I357" s="505">
        <v>30000</v>
      </c>
      <c r="J357" s="505">
        <f t="shared" si="22"/>
        <v>30</v>
      </c>
      <c r="K357" s="506">
        <f t="shared" si="23"/>
        <v>1</v>
      </c>
    </row>
    <row r="358" spans="1:11" ht="21.9" customHeight="1">
      <c r="A358" s="509" t="s">
        <v>3359</v>
      </c>
      <c r="B358" s="493" t="s">
        <v>3360</v>
      </c>
      <c r="C358" s="493" t="s">
        <v>3347</v>
      </c>
      <c r="D358" s="493" t="s">
        <v>3348</v>
      </c>
      <c r="E358" s="505">
        <v>0</v>
      </c>
      <c r="F358" s="505">
        <f t="shared" si="20"/>
        <v>0</v>
      </c>
      <c r="G358" s="505">
        <v>150000</v>
      </c>
      <c r="H358" s="505">
        <f t="shared" si="21"/>
        <v>150</v>
      </c>
      <c r="I358" s="505">
        <v>150000</v>
      </c>
      <c r="J358" s="505">
        <f t="shared" si="22"/>
        <v>150</v>
      </c>
      <c r="K358" s="506">
        <f t="shared" si="23"/>
        <v>1</v>
      </c>
    </row>
    <row r="359" spans="1:11" ht="21.9" customHeight="1">
      <c r="A359" s="1136" t="s">
        <v>3361</v>
      </c>
      <c r="B359" s="1130" t="s">
        <v>3362</v>
      </c>
      <c r="C359" s="493" t="s">
        <v>3214</v>
      </c>
      <c r="D359" s="493" t="s">
        <v>3215</v>
      </c>
      <c r="E359" s="505">
        <v>0</v>
      </c>
      <c r="F359" s="505">
        <f t="shared" si="20"/>
        <v>0</v>
      </c>
      <c r="G359" s="505">
        <v>100000</v>
      </c>
      <c r="H359" s="505">
        <f t="shared" si="21"/>
        <v>100</v>
      </c>
      <c r="I359" s="505">
        <v>100000</v>
      </c>
      <c r="J359" s="505">
        <f t="shared" si="22"/>
        <v>100</v>
      </c>
      <c r="K359" s="506">
        <f t="shared" si="23"/>
        <v>1</v>
      </c>
    </row>
    <row r="360" spans="1:11" ht="21.9" customHeight="1">
      <c r="A360" s="1136"/>
      <c r="B360" s="1130"/>
      <c r="C360" s="493" t="s">
        <v>3347</v>
      </c>
      <c r="D360" s="493" t="s">
        <v>3348</v>
      </c>
      <c r="E360" s="505">
        <v>0</v>
      </c>
      <c r="F360" s="505">
        <f t="shared" si="20"/>
        <v>0</v>
      </c>
      <c r="G360" s="505">
        <v>110000</v>
      </c>
      <c r="H360" s="505">
        <f t="shared" si="21"/>
        <v>110</v>
      </c>
      <c r="I360" s="505">
        <v>110000</v>
      </c>
      <c r="J360" s="505">
        <f t="shared" si="22"/>
        <v>110</v>
      </c>
      <c r="K360" s="506">
        <f t="shared" si="23"/>
        <v>1</v>
      </c>
    </row>
    <row r="361" spans="1:11" ht="21.9" customHeight="1">
      <c r="A361" s="509" t="s">
        <v>3257</v>
      </c>
      <c r="B361" s="493" t="s">
        <v>3258</v>
      </c>
      <c r="C361" s="493" t="s">
        <v>3124</v>
      </c>
      <c r="D361" s="493" t="s">
        <v>3125</v>
      </c>
      <c r="E361" s="505">
        <v>0</v>
      </c>
      <c r="F361" s="505">
        <f t="shared" si="20"/>
        <v>0</v>
      </c>
      <c r="G361" s="505">
        <v>100000</v>
      </c>
      <c r="H361" s="505">
        <f t="shared" si="21"/>
        <v>100</v>
      </c>
      <c r="I361" s="505">
        <v>100000</v>
      </c>
      <c r="J361" s="505">
        <f t="shared" si="22"/>
        <v>100</v>
      </c>
      <c r="K361" s="506">
        <f t="shared" si="23"/>
        <v>1</v>
      </c>
    </row>
    <row r="362" spans="1:11" ht="21.9" customHeight="1">
      <c r="A362" s="1136" t="s">
        <v>3257</v>
      </c>
      <c r="B362" s="1130" t="s">
        <v>3258</v>
      </c>
      <c r="C362" s="493" t="s">
        <v>3214</v>
      </c>
      <c r="D362" s="493" t="s">
        <v>3215</v>
      </c>
      <c r="E362" s="505">
        <v>0</v>
      </c>
      <c r="F362" s="505">
        <f t="shared" si="20"/>
        <v>0</v>
      </c>
      <c r="G362" s="505">
        <v>500000</v>
      </c>
      <c r="H362" s="505">
        <f t="shared" si="21"/>
        <v>500</v>
      </c>
      <c r="I362" s="505">
        <v>500000</v>
      </c>
      <c r="J362" s="505">
        <f t="shared" si="22"/>
        <v>500</v>
      </c>
      <c r="K362" s="506">
        <f t="shared" si="23"/>
        <v>1</v>
      </c>
    </row>
    <row r="363" spans="1:11" ht="21.9" customHeight="1">
      <c r="A363" s="1136"/>
      <c r="B363" s="1130"/>
      <c r="C363" s="493" t="s">
        <v>3096</v>
      </c>
      <c r="D363" s="493" t="s">
        <v>3097</v>
      </c>
      <c r="E363" s="505">
        <v>23825000</v>
      </c>
      <c r="F363" s="505">
        <f t="shared" si="20"/>
        <v>23825</v>
      </c>
      <c r="G363" s="505">
        <v>25553795.710000001</v>
      </c>
      <c r="H363" s="505">
        <f t="shared" si="21"/>
        <v>25553.795710000002</v>
      </c>
      <c r="I363" s="505">
        <v>25535975.710000001</v>
      </c>
      <c r="J363" s="505">
        <f t="shared" si="22"/>
        <v>25535.975710000002</v>
      </c>
      <c r="K363" s="506">
        <f t="shared" si="23"/>
        <v>0.99930264763003385</v>
      </c>
    </row>
    <row r="364" spans="1:11" ht="21.9" customHeight="1">
      <c r="A364" s="1136"/>
      <c r="B364" s="1130"/>
      <c r="C364" s="493" t="s">
        <v>3098</v>
      </c>
      <c r="D364" s="493" t="s">
        <v>3099</v>
      </c>
      <c r="E364" s="505">
        <v>0</v>
      </c>
      <c r="F364" s="505">
        <f t="shared" si="20"/>
        <v>0</v>
      </c>
      <c r="G364" s="505">
        <v>184500</v>
      </c>
      <c r="H364" s="505">
        <f t="shared" si="21"/>
        <v>184.5</v>
      </c>
      <c r="I364" s="505">
        <v>184500</v>
      </c>
      <c r="J364" s="505">
        <f t="shared" si="22"/>
        <v>184.5</v>
      </c>
      <c r="K364" s="506">
        <f t="shared" si="23"/>
        <v>1</v>
      </c>
    </row>
    <row r="365" spans="1:11" ht="21.9" customHeight="1">
      <c r="A365" s="1136"/>
      <c r="B365" s="1130"/>
      <c r="C365" s="493" t="s">
        <v>3198</v>
      </c>
      <c r="D365" s="493" t="s">
        <v>3199</v>
      </c>
      <c r="E365" s="505">
        <v>0</v>
      </c>
      <c r="F365" s="505">
        <f t="shared" si="20"/>
        <v>0</v>
      </c>
      <c r="G365" s="505">
        <v>147000</v>
      </c>
      <c r="H365" s="505">
        <f t="shared" si="21"/>
        <v>147</v>
      </c>
      <c r="I365" s="505">
        <v>147000</v>
      </c>
      <c r="J365" s="505">
        <f t="shared" si="22"/>
        <v>147</v>
      </c>
      <c r="K365" s="506">
        <f t="shared" si="23"/>
        <v>1</v>
      </c>
    </row>
    <row r="366" spans="1:11" ht="21.9" customHeight="1">
      <c r="A366" s="1136"/>
      <c r="B366" s="1130"/>
      <c r="C366" s="493" t="s">
        <v>3347</v>
      </c>
      <c r="D366" s="493" t="s">
        <v>3348</v>
      </c>
      <c r="E366" s="505">
        <v>0</v>
      </c>
      <c r="F366" s="505">
        <f t="shared" si="20"/>
        <v>0</v>
      </c>
      <c r="G366" s="505">
        <v>50000</v>
      </c>
      <c r="H366" s="505">
        <f t="shared" si="21"/>
        <v>50</v>
      </c>
      <c r="I366" s="505">
        <v>50000</v>
      </c>
      <c r="J366" s="505">
        <f t="shared" si="22"/>
        <v>50</v>
      </c>
      <c r="K366" s="506">
        <f t="shared" si="23"/>
        <v>1</v>
      </c>
    </row>
    <row r="367" spans="1:11" ht="21.9" customHeight="1">
      <c r="A367" s="1136"/>
      <c r="B367" s="1130"/>
      <c r="C367" s="493" t="s">
        <v>3103</v>
      </c>
      <c r="D367" s="493" t="s">
        <v>3104</v>
      </c>
      <c r="E367" s="505">
        <v>82600000</v>
      </c>
      <c r="F367" s="505">
        <f t="shared" si="20"/>
        <v>82600</v>
      </c>
      <c r="G367" s="505">
        <v>144333134.09</v>
      </c>
      <c r="H367" s="505">
        <f t="shared" si="21"/>
        <v>144333.13409000001</v>
      </c>
      <c r="I367" s="505">
        <v>114561705.92</v>
      </c>
      <c r="J367" s="505">
        <f t="shared" si="22"/>
        <v>114561.70592000001</v>
      </c>
      <c r="K367" s="506">
        <f t="shared" si="23"/>
        <v>0.79373115980814357</v>
      </c>
    </row>
    <row r="368" spans="1:11" ht="21.9" customHeight="1">
      <c r="A368" s="1136" t="s">
        <v>3272</v>
      </c>
      <c r="B368" s="1130" t="s">
        <v>3273</v>
      </c>
      <c r="C368" s="493" t="s">
        <v>3124</v>
      </c>
      <c r="D368" s="493" t="s">
        <v>3125</v>
      </c>
      <c r="E368" s="505">
        <v>0</v>
      </c>
      <c r="F368" s="505">
        <f t="shared" si="20"/>
        <v>0</v>
      </c>
      <c r="G368" s="505">
        <v>50000</v>
      </c>
      <c r="H368" s="505">
        <f t="shared" si="21"/>
        <v>50</v>
      </c>
      <c r="I368" s="505">
        <v>50000</v>
      </c>
      <c r="J368" s="505">
        <f t="shared" si="22"/>
        <v>50</v>
      </c>
      <c r="K368" s="506">
        <f t="shared" si="23"/>
        <v>1</v>
      </c>
    </row>
    <row r="369" spans="1:11" ht="21.9" customHeight="1">
      <c r="A369" s="1136"/>
      <c r="B369" s="1130"/>
      <c r="C369" s="493" t="s">
        <v>3214</v>
      </c>
      <c r="D369" s="493" t="s">
        <v>3215</v>
      </c>
      <c r="E369" s="505">
        <v>0</v>
      </c>
      <c r="F369" s="505">
        <f t="shared" si="20"/>
        <v>0</v>
      </c>
      <c r="G369" s="505">
        <v>80000</v>
      </c>
      <c r="H369" s="505">
        <f t="shared" si="21"/>
        <v>80</v>
      </c>
      <c r="I369" s="505">
        <v>80000</v>
      </c>
      <c r="J369" s="505">
        <f t="shared" si="22"/>
        <v>80</v>
      </c>
      <c r="K369" s="506">
        <f t="shared" si="23"/>
        <v>1</v>
      </c>
    </row>
    <row r="370" spans="1:11" ht="21.9" customHeight="1">
      <c r="A370" s="509" t="s">
        <v>3363</v>
      </c>
      <c r="B370" s="493" t="s">
        <v>3364</v>
      </c>
      <c r="C370" s="493" t="s">
        <v>3124</v>
      </c>
      <c r="D370" s="493" t="s">
        <v>3125</v>
      </c>
      <c r="E370" s="505">
        <v>0</v>
      </c>
      <c r="F370" s="505">
        <f t="shared" si="20"/>
        <v>0</v>
      </c>
      <c r="G370" s="505">
        <v>100000</v>
      </c>
      <c r="H370" s="505">
        <f t="shared" si="21"/>
        <v>100</v>
      </c>
      <c r="I370" s="505">
        <v>80000</v>
      </c>
      <c r="J370" s="505">
        <f t="shared" si="22"/>
        <v>80</v>
      </c>
      <c r="K370" s="506">
        <f t="shared" si="23"/>
        <v>0.8</v>
      </c>
    </row>
    <row r="371" spans="1:11" ht="21.9" customHeight="1">
      <c r="A371" s="1136" t="s">
        <v>3363</v>
      </c>
      <c r="B371" s="1130" t="s">
        <v>3364</v>
      </c>
      <c r="C371" s="493" t="s">
        <v>3214</v>
      </c>
      <c r="D371" s="493" t="s">
        <v>3215</v>
      </c>
      <c r="E371" s="505">
        <v>0</v>
      </c>
      <c r="F371" s="505">
        <f t="shared" si="20"/>
        <v>0</v>
      </c>
      <c r="G371" s="505">
        <v>40000</v>
      </c>
      <c r="H371" s="505">
        <f t="shared" si="21"/>
        <v>40</v>
      </c>
      <c r="I371" s="505">
        <v>40000</v>
      </c>
      <c r="J371" s="505">
        <f t="shared" si="22"/>
        <v>40</v>
      </c>
      <c r="K371" s="506">
        <f t="shared" si="23"/>
        <v>1</v>
      </c>
    </row>
    <row r="372" spans="1:11" ht="21.9" customHeight="1">
      <c r="A372" s="1136"/>
      <c r="B372" s="1130"/>
      <c r="C372" s="493" t="s">
        <v>3198</v>
      </c>
      <c r="D372" s="493" t="s">
        <v>3199</v>
      </c>
      <c r="E372" s="505">
        <v>0</v>
      </c>
      <c r="F372" s="505">
        <f t="shared" si="20"/>
        <v>0</v>
      </c>
      <c r="G372" s="505">
        <v>150000</v>
      </c>
      <c r="H372" s="505">
        <f t="shared" si="21"/>
        <v>150</v>
      </c>
      <c r="I372" s="505">
        <v>150000</v>
      </c>
      <c r="J372" s="505">
        <f t="shared" si="22"/>
        <v>150</v>
      </c>
      <c r="K372" s="506">
        <f t="shared" si="23"/>
        <v>1</v>
      </c>
    </row>
    <row r="373" spans="1:11" ht="21.9" customHeight="1">
      <c r="A373" s="1136"/>
      <c r="B373" s="1130"/>
      <c r="C373" s="493" t="s">
        <v>3347</v>
      </c>
      <c r="D373" s="493" t="s">
        <v>3348</v>
      </c>
      <c r="E373" s="505">
        <v>0</v>
      </c>
      <c r="F373" s="505">
        <f t="shared" si="20"/>
        <v>0</v>
      </c>
      <c r="G373" s="505">
        <v>239000</v>
      </c>
      <c r="H373" s="505">
        <f t="shared" si="21"/>
        <v>239</v>
      </c>
      <c r="I373" s="505">
        <v>239000</v>
      </c>
      <c r="J373" s="505">
        <f t="shared" si="22"/>
        <v>239</v>
      </c>
      <c r="K373" s="506">
        <f t="shared" si="23"/>
        <v>1</v>
      </c>
    </row>
    <row r="374" spans="1:11" ht="21.9" customHeight="1">
      <c r="A374" s="509" t="s">
        <v>3365</v>
      </c>
      <c r="B374" s="493" t="s">
        <v>3366</v>
      </c>
      <c r="C374" s="493" t="s">
        <v>3214</v>
      </c>
      <c r="D374" s="493" t="s">
        <v>3215</v>
      </c>
      <c r="E374" s="505">
        <v>0</v>
      </c>
      <c r="F374" s="505">
        <f t="shared" si="20"/>
        <v>0</v>
      </c>
      <c r="G374" s="505">
        <v>40000</v>
      </c>
      <c r="H374" s="505">
        <f t="shared" si="21"/>
        <v>40</v>
      </c>
      <c r="I374" s="505">
        <v>40000</v>
      </c>
      <c r="J374" s="505">
        <f t="shared" si="22"/>
        <v>40</v>
      </c>
      <c r="K374" s="506">
        <f t="shared" si="23"/>
        <v>1</v>
      </c>
    </row>
    <row r="375" spans="1:11" ht="21.9" customHeight="1">
      <c r="A375" s="509" t="s">
        <v>3367</v>
      </c>
      <c r="B375" s="493" t="s">
        <v>3368</v>
      </c>
      <c r="C375" s="493" t="s">
        <v>3214</v>
      </c>
      <c r="D375" s="493" t="s">
        <v>3215</v>
      </c>
      <c r="E375" s="505">
        <v>0</v>
      </c>
      <c r="F375" s="505">
        <f t="shared" si="20"/>
        <v>0</v>
      </c>
      <c r="G375" s="505">
        <v>20000</v>
      </c>
      <c r="H375" s="505">
        <f t="shared" si="21"/>
        <v>20</v>
      </c>
      <c r="I375" s="505">
        <v>20000</v>
      </c>
      <c r="J375" s="505">
        <f t="shared" si="22"/>
        <v>20</v>
      </c>
      <c r="K375" s="506">
        <f t="shared" si="23"/>
        <v>1</v>
      </c>
    </row>
    <row r="376" spans="1:11" ht="21.9" customHeight="1">
      <c r="A376" s="1136" t="s">
        <v>3369</v>
      </c>
      <c r="B376" s="1130" t="s">
        <v>3370</v>
      </c>
      <c r="C376" s="493" t="s">
        <v>3124</v>
      </c>
      <c r="D376" s="493" t="s">
        <v>3125</v>
      </c>
      <c r="E376" s="505">
        <v>0</v>
      </c>
      <c r="F376" s="505">
        <f t="shared" si="20"/>
        <v>0</v>
      </c>
      <c r="G376" s="505">
        <v>20000</v>
      </c>
      <c r="H376" s="505">
        <f t="shared" si="21"/>
        <v>20</v>
      </c>
      <c r="I376" s="505">
        <v>20000</v>
      </c>
      <c r="J376" s="505">
        <f t="shared" si="22"/>
        <v>20</v>
      </c>
      <c r="K376" s="506">
        <f t="shared" si="23"/>
        <v>1</v>
      </c>
    </row>
    <row r="377" spans="1:11" ht="21.9" customHeight="1">
      <c r="A377" s="1136"/>
      <c r="B377" s="1130"/>
      <c r="C377" s="493" t="s">
        <v>3214</v>
      </c>
      <c r="D377" s="493" t="s">
        <v>3215</v>
      </c>
      <c r="E377" s="505">
        <v>0</v>
      </c>
      <c r="F377" s="505">
        <f t="shared" si="20"/>
        <v>0</v>
      </c>
      <c r="G377" s="505">
        <v>100000</v>
      </c>
      <c r="H377" s="505">
        <f t="shared" si="21"/>
        <v>100</v>
      </c>
      <c r="I377" s="505">
        <v>100000</v>
      </c>
      <c r="J377" s="505">
        <f t="shared" si="22"/>
        <v>100</v>
      </c>
      <c r="K377" s="506">
        <f t="shared" si="23"/>
        <v>1</v>
      </c>
    </row>
    <row r="378" spans="1:11" ht="21.9" customHeight="1">
      <c r="A378" s="1136" t="s">
        <v>3371</v>
      </c>
      <c r="B378" s="1130" t="s">
        <v>3372</v>
      </c>
      <c r="C378" s="493" t="s">
        <v>3124</v>
      </c>
      <c r="D378" s="493" t="s">
        <v>3125</v>
      </c>
      <c r="E378" s="505">
        <v>0</v>
      </c>
      <c r="F378" s="505">
        <f t="shared" si="20"/>
        <v>0</v>
      </c>
      <c r="G378" s="505">
        <v>125000</v>
      </c>
      <c r="H378" s="505">
        <f t="shared" si="21"/>
        <v>125</v>
      </c>
      <c r="I378" s="505">
        <v>125000</v>
      </c>
      <c r="J378" s="505">
        <f t="shared" si="22"/>
        <v>125</v>
      </c>
      <c r="K378" s="506">
        <f t="shared" si="23"/>
        <v>1</v>
      </c>
    </row>
    <row r="379" spans="1:11" ht="21.9" customHeight="1">
      <c r="A379" s="1136"/>
      <c r="B379" s="1130"/>
      <c r="C379" s="493" t="s">
        <v>3214</v>
      </c>
      <c r="D379" s="493" t="s">
        <v>3215</v>
      </c>
      <c r="E379" s="505">
        <v>0</v>
      </c>
      <c r="F379" s="505">
        <f t="shared" si="20"/>
        <v>0</v>
      </c>
      <c r="G379" s="505">
        <v>20000</v>
      </c>
      <c r="H379" s="505">
        <f t="shared" si="21"/>
        <v>20</v>
      </c>
      <c r="I379" s="505">
        <v>20000</v>
      </c>
      <c r="J379" s="505">
        <f t="shared" si="22"/>
        <v>20</v>
      </c>
      <c r="K379" s="506">
        <f t="shared" si="23"/>
        <v>1</v>
      </c>
    </row>
    <row r="380" spans="1:11" ht="21.9" customHeight="1">
      <c r="A380" s="1136"/>
      <c r="B380" s="1130"/>
      <c r="C380" s="493" t="s">
        <v>3347</v>
      </c>
      <c r="D380" s="493" t="s">
        <v>3348</v>
      </c>
      <c r="E380" s="505">
        <v>0</v>
      </c>
      <c r="F380" s="505">
        <f t="shared" si="20"/>
        <v>0</v>
      </c>
      <c r="G380" s="505">
        <v>92000</v>
      </c>
      <c r="H380" s="505">
        <f t="shared" si="21"/>
        <v>92</v>
      </c>
      <c r="I380" s="505">
        <v>92000</v>
      </c>
      <c r="J380" s="505">
        <f t="shared" si="22"/>
        <v>92</v>
      </c>
      <c r="K380" s="506">
        <f t="shared" si="23"/>
        <v>1</v>
      </c>
    </row>
    <row r="381" spans="1:11" ht="21.9" customHeight="1">
      <c r="A381" s="1136" t="s">
        <v>3373</v>
      </c>
      <c r="B381" s="1130" t="s">
        <v>3374</v>
      </c>
      <c r="C381" s="493" t="s">
        <v>3212</v>
      </c>
      <c r="D381" s="493" t="s">
        <v>3213</v>
      </c>
      <c r="E381" s="505">
        <v>0</v>
      </c>
      <c r="F381" s="505">
        <f t="shared" si="20"/>
        <v>0</v>
      </c>
      <c r="G381" s="505">
        <v>44000</v>
      </c>
      <c r="H381" s="505">
        <f t="shared" si="21"/>
        <v>44</v>
      </c>
      <c r="I381" s="505">
        <v>44000</v>
      </c>
      <c r="J381" s="505">
        <f t="shared" si="22"/>
        <v>44</v>
      </c>
      <c r="K381" s="506">
        <f t="shared" si="23"/>
        <v>1</v>
      </c>
    </row>
    <row r="382" spans="1:11" ht="21.9" customHeight="1">
      <c r="A382" s="1136"/>
      <c r="B382" s="1130"/>
      <c r="C382" s="493" t="s">
        <v>3124</v>
      </c>
      <c r="D382" s="493" t="s">
        <v>3125</v>
      </c>
      <c r="E382" s="505">
        <v>0</v>
      </c>
      <c r="F382" s="505">
        <f t="shared" si="20"/>
        <v>0</v>
      </c>
      <c r="G382" s="505">
        <v>80000</v>
      </c>
      <c r="H382" s="505">
        <f t="shared" si="21"/>
        <v>80</v>
      </c>
      <c r="I382" s="505">
        <v>80000</v>
      </c>
      <c r="J382" s="505">
        <f t="shared" si="22"/>
        <v>80</v>
      </c>
      <c r="K382" s="506">
        <f t="shared" si="23"/>
        <v>1</v>
      </c>
    </row>
    <row r="383" spans="1:11" ht="21.9" customHeight="1">
      <c r="A383" s="1136"/>
      <c r="B383" s="1130"/>
      <c r="C383" s="493" t="s">
        <v>3214</v>
      </c>
      <c r="D383" s="493" t="s">
        <v>3215</v>
      </c>
      <c r="E383" s="505">
        <v>0</v>
      </c>
      <c r="F383" s="505">
        <f t="shared" si="20"/>
        <v>0</v>
      </c>
      <c r="G383" s="505">
        <v>120000</v>
      </c>
      <c r="H383" s="505">
        <f t="shared" si="21"/>
        <v>120</v>
      </c>
      <c r="I383" s="505">
        <v>120000</v>
      </c>
      <c r="J383" s="505">
        <f t="shared" si="22"/>
        <v>120</v>
      </c>
      <c r="K383" s="506">
        <f t="shared" si="23"/>
        <v>1</v>
      </c>
    </row>
    <row r="384" spans="1:11" ht="21.9" customHeight="1">
      <c r="A384" s="1136"/>
      <c r="B384" s="1130"/>
      <c r="C384" s="493" t="s">
        <v>3345</v>
      </c>
      <c r="D384" s="493" t="s">
        <v>3346</v>
      </c>
      <c r="E384" s="505">
        <v>0</v>
      </c>
      <c r="F384" s="505">
        <f t="shared" si="20"/>
        <v>0</v>
      </c>
      <c r="G384" s="505">
        <v>70000</v>
      </c>
      <c r="H384" s="505">
        <f t="shared" si="21"/>
        <v>70</v>
      </c>
      <c r="I384" s="505">
        <v>70000</v>
      </c>
      <c r="J384" s="505">
        <f t="shared" si="22"/>
        <v>70</v>
      </c>
      <c r="K384" s="506">
        <f t="shared" si="23"/>
        <v>1</v>
      </c>
    </row>
    <row r="385" spans="1:11" ht="21.9" customHeight="1">
      <c r="A385" s="509" t="s">
        <v>3375</v>
      </c>
      <c r="B385" s="493" t="s">
        <v>3376</v>
      </c>
      <c r="C385" s="493" t="s">
        <v>3347</v>
      </c>
      <c r="D385" s="493" t="s">
        <v>3348</v>
      </c>
      <c r="E385" s="505">
        <v>0</v>
      </c>
      <c r="F385" s="505">
        <f t="shared" si="20"/>
        <v>0</v>
      </c>
      <c r="G385" s="505">
        <v>500000</v>
      </c>
      <c r="H385" s="505">
        <f t="shared" si="21"/>
        <v>500</v>
      </c>
      <c r="I385" s="505">
        <v>500000</v>
      </c>
      <c r="J385" s="505">
        <f t="shared" si="22"/>
        <v>500</v>
      </c>
      <c r="K385" s="506">
        <f t="shared" si="23"/>
        <v>1</v>
      </c>
    </row>
    <row r="386" spans="1:11" ht="21.9" customHeight="1">
      <c r="A386" s="1136" t="s">
        <v>3377</v>
      </c>
      <c r="B386" s="1130" t="s">
        <v>3378</v>
      </c>
      <c r="C386" s="493" t="s">
        <v>3124</v>
      </c>
      <c r="D386" s="493" t="s">
        <v>3125</v>
      </c>
      <c r="E386" s="505">
        <v>400000</v>
      </c>
      <c r="F386" s="505">
        <f t="shared" si="20"/>
        <v>400</v>
      </c>
      <c r="G386" s="505">
        <v>335000</v>
      </c>
      <c r="H386" s="505">
        <f t="shared" si="21"/>
        <v>335</v>
      </c>
      <c r="I386" s="505">
        <v>326667</v>
      </c>
      <c r="J386" s="505">
        <f t="shared" si="22"/>
        <v>326.66699999999997</v>
      </c>
      <c r="K386" s="506">
        <f t="shared" si="23"/>
        <v>0.97512537313432834</v>
      </c>
    </row>
    <row r="387" spans="1:11" ht="21.9" customHeight="1">
      <c r="A387" s="1136"/>
      <c r="B387" s="1130"/>
      <c r="C387" s="493" t="s">
        <v>3198</v>
      </c>
      <c r="D387" s="493" t="s">
        <v>3199</v>
      </c>
      <c r="E387" s="505">
        <v>0</v>
      </c>
      <c r="F387" s="505">
        <f t="shared" si="20"/>
        <v>0</v>
      </c>
      <c r="G387" s="505">
        <v>150000</v>
      </c>
      <c r="H387" s="505">
        <f t="shared" si="21"/>
        <v>150</v>
      </c>
      <c r="I387" s="505">
        <v>150000</v>
      </c>
      <c r="J387" s="505">
        <f t="shared" si="22"/>
        <v>150</v>
      </c>
      <c r="K387" s="506">
        <f t="shared" si="23"/>
        <v>1</v>
      </c>
    </row>
    <row r="388" spans="1:11" ht="21.9" customHeight="1">
      <c r="A388" s="1136" t="s">
        <v>3379</v>
      </c>
      <c r="B388" s="1130" t="s">
        <v>3380</v>
      </c>
      <c r="C388" s="493" t="s">
        <v>3212</v>
      </c>
      <c r="D388" s="493" t="s">
        <v>3213</v>
      </c>
      <c r="E388" s="505">
        <v>0</v>
      </c>
      <c r="F388" s="505">
        <f t="shared" si="20"/>
        <v>0</v>
      </c>
      <c r="G388" s="505">
        <v>20000</v>
      </c>
      <c r="H388" s="505">
        <f t="shared" si="21"/>
        <v>20</v>
      </c>
      <c r="I388" s="505">
        <v>20000</v>
      </c>
      <c r="J388" s="505">
        <f t="shared" si="22"/>
        <v>20</v>
      </c>
      <c r="K388" s="506">
        <f t="shared" si="23"/>
        <v>1</v>
      </c>
    </row>
    <row r="389" spans="1:11" ht="21.9" customHeight="1">
      <c r="A389" s="1136"/>
      <c r="B389" s="1130"/>
      <c r="C389" s="493" t="s">
        <v>3124</v>
      </c>
      <c r="D389" s="493" t="s">
        <v>3125</v>
      </c>
      <c r="E389" s="505">
        <v>0</v>
      </c>
      <c r="F389" s="505">
        <f t="shared" si="20"/>
        <v>0</v>
      </c>
      <c r="G389" s="505">
        <v>100000</v>
      </c>
      <c r="H389" s="505">
        <f t="shared" si="21"/>
        <v>100</v>
      </c>
      <c r="I389" s="505">
        <v>100000</v>
      </c>
      <c r="J389" s="505">
        <f t="shared" si="22"/>
        <v>100</v>
      </c>
      <c r="K389" s="506">
        <f t="shared" si="23"/>
        <v>1</v>
      </c>
    </row>
    <row r="390" spans="1:11" ht="21.9" customHeight="1">
      <c r="A390" s="1136"/>
      <c r="B390" s="1130"/>
      <c r="C390" s="493" t="s">
        <v>3214</v>
      </c>
      <c r="D390" s="493" t="s">
        <v>3215</v>
      </c>
      <c r="E390" s="505">
        <v>0</v>
      </c>
      <c r="F390" s="505">
        <f t="shared" si="20"/>
        <v>0</v>
      </c>
      <c r="G390" s="505">
        <v>160000</v>
      </c>
      <c r="H390" s="505">
        <f t="shared" si="21"/>
        <v>160</v>
      </c>
      <c r="I390" s="505">
        <v>160000</v>
      </c>
      <c r="J390" s="505">
        <f t="shared" si="22"/>
        <v>160</v>
      </c>
      <c r="K390" s="506">
        <f t="shared" si="23"/>
        <v>1</v>
      </c>
    </row>
    <row r="391" spans="1:11" ht="21.9" customHeight="1">
      <c r="A391" s="1136" t="s">
        <v>3274</v>
      </c>
      <c r="B391" s="1130" t="s">
        <v>3275</v>
      </c>
      <c r="C391" s="493" t="s">
        <v>3132</v>
      </c>
      <c r="D391" s="493" t="s">
        <v>1470</v>
      </c>
      <c r="E391" s="505">
        <v>0</v>
      </c>
      <c r="F391" s="505">
        <f t="shared" ref="F391:F454" si="24">E391/1000</f>
        <v>0</v>
      </c>
      <c r="G391" s="505">
        <v>578928</v>
      </c>
      <c r="H391" s="505">
        <f t="shared" ref="H391:H454" si="25">G391/1000</f>
        <v>578.928</v>
      </c>
      <c r="I391" s="505">
        <v>578928</v>
      </c>
      <c r="J391" s="505">
        <f t="shared" ref="J391:J454" si="26">I391/1000</f>
        <v>578.928</v>
      </c>
      <c r="K391" s="506">
        <f t="shared" ref="K391:K410" si="27">I391/G391</f>
        <v>1</v>
      </c>
    </row>
    <row r="392" spans="1:11" ht="21.9" customHeight="1">
      <c r="A392" s="1136"/>
      <c r="B392" s="1130"/>
      <c r="C392" s="493" t="s">
        <v>3115</v>
      </c>
      <c r="D392" s="493" t="s">
        <v>1492</v>
      </c>
      <c r="E392" s="505">
        <v>0</v>
      </c>
      <c r="F392" s="505">
        <f t="shared" si="24"/>
        <v>0</v>
      </c>
      <c r="G392" s="505">
        <v>52800</v>
      </c>
      <c r="H392" s="505">
        <f t="shared" si="25"/>
        <v>52.8</v>
      </c>
      <c r="I392" s="505">
        <v>52800</v>
      </c>
      <c r="J392" s="505">
        <f t="shared" si="26"/>
        <v>52.8</v>
      </c>
      <c r="K392" s="506">
        <f t="shared" si="27"/>
        <v>1</v>
      </c>
    </row>
    <row r="393" spans="1:11" ht="21.9" customHeight="1">
      <c r="A393" s="1136"/>
      <c r="B393" s="1130"/>
      <c r="C393" s="493" t="s">
        <v>3133</v>
      </c>
      <c r="D393" s="493" t="s">
        <v>3134</v>
      </c>
      <c r="E393" s="505">
        <v>0</v>
      </c>
      <c r="F393" s="505">
        <f t="shared" si="24"/>
        <v>0</v>
      </c>
      <c r="G393" s="505">
        <v>157947</v>
      </c>
      <c r="H393" s="505">
        <f t="shared" si="25"/>
        <v>157.947</v>
      </c>
      <c r="I393" s="505">
        <v>157947</v>
      </c>
      <c r="J393" s="505">
        <f t="shared" si="26"/>
        <v>157.947</v>
      </c>
      <c r="K393" s="506">
        <f t="shared" si="27"/>
        <v>1</v>
      </c>
    </row>
    <row r="394" spans="1:11" ht="21.9" customHeight="1">
      <c r="A394" s="1136"/>
      <c r="B394" s="1130"/>
      <c r="C394" s="493" t="s">
        <v>3135</v>
      </c>
      <c r="D394" s="493" t="s">
        <v>3136</v>
      </c>
      <c r="E394" s="505">
        <v>0</v>
      </c>
      <c r="F394" s="505">
        <f t="shared" si="24"/>
        <v>0</v>
      </c>
      <c r="G394" s="505">
        <v>56725</v>
      </c>
      <c r="H394" s="505">
        <f t="shared" si="25"/>
        <v>56.725000000000001</v>
      </c>
      <c r="I394" s="505">
        <v>56725</v>
      </c>
      <c r="J394" s="505">
        <f t="shared" si="26"/>
        <v>56.725000000000001</v>
      </c>
      <c r="K394" s="506">
        <f t="shared" si="27"/>
        <v>1</v>
      </c>
    </row>
    <row r="395" spans="1:11" ht="21.9" customHeight="1">
      <c r="A395" s="1136"/>
      <c r="B395" s="1130"/>
      <c r="C395" s="493" t="s">
        <v>3165</v>
      </c>
      <c r="D395" s="493" t="s">
        <v>3166</v>
      </c>
      <c r="E395" s="505">
        <v>0</v>
      </c>
      <c r="F395" s="505">
        <f t="shared" si="24"/>
        <v>0</v>
      </c>
      <c r="G395" s="505">
        <v>54997</v>
      </c>
      <c r="H395" s="505">
        <f t="shared" si="25"/>
        <v>54.997</v>
      </c>
      <c r="I395" s="505">
        <v>54997</v>
      </c>
      <c r="J395" s="505">
        <f t="shared" si="26"/>
        <v>54.997</v>
      </c>
      <c r="K395" s="506">
        <f t="shared" si="27"/>
        <v>1</v>
      </c>
    </row>
    <row r="396" spans="1:11" ht="21.9" customHeight="1">
      <c r="A396" s="1136"/>
      <c r="B396" s="1130"/>
      <c r="C396" s="493" t="s">
        <v>3072</v>
      </c>
      <c r="D396" s="493" t="s">
        <v>3073</v>
      </c>
      <c r="E396" s="505">
        <v>0</v>
      </c>
      <c r="F396" s="505">
        <f t="shared" si="24"/>
        <v>0</v>
      </c>
      <c r="G396" s="505">
        <v>109983.79999999999</v>
      </c>
      <c r="H396" s="505">
        <f t="shared" si="25"/>
        <v>109.98379999999999</v>
      </c>
      <c r="I396" s="505">
        <v>109983.79999999999</v>
      </c>
      <c r="J396" s="505">
        <f t="shared" si="26"/>
        <v>109.98379999999999</v>
      </c>
      <c r="K396" s="506">
        <f t="shared" si="27"/>
        <v>1</v>
      </c>
    </row>
    <row r="397" spans="1:11" ht="21.9" customHeight="1">
      <c r="A397" s="1136"/>
      <c r="B397" s="1130"/>
      <c r="C397" s="493" t="s">
        <v>3156</v>
      </c>
      <c r="D397" s="493" t="s">
        <v>3157</v>
      </c>
      <c r="E397" s="505">
        <v>0</v>
      </c>
      <c r="F397" s="505">
        <f t="shared" si="24"/>
        <v>0</v>
      </c>
      <c r="G397" s="505">
        <v>1200</v>
      </c>
      <c r="H397" s="505">
        <f t="shared" si="25"/>
        <v>1.2</v>
      </c>
      <c r="I397" s="505">
        <v>1200</v>
      </c>
      <c r="J397" s="505">
        <f t="shared" si="26"/>
        <v>1.2</v>
      </c>
      <c r="K397" s="506">
        <f t="shared" si="27"/>
        <v>1</v>
      </c>
    </row>
    <row r="398" spans="1:11" ht="21.9" customHeight="1">
      <c r="A398" s="1136"/>
      <c r="B398" s="1130"/>
      <c r="C398" s="493" t="s">
        <v>3074</v>
      </c>
      <c r="D398" s="493" t="s">
        <v>3075</v>
      </c>
      <c r="E398" s="505">
        <v>0</v>
      </c>
      <c r="F398" s="505">
        <f t="shared" si="24"/>
        <v>0</v>
      </c>
      <c r="G398" s="505">
        <v>22501565.379999999</v>
      </c>
      <c r="H398" s="505">
        <f t="shared" si="25"/>
        <v>22501.56538</v>
      </c>
      <c r="I398" s="505">
        <v>22435505.780000001</v>
      </c>
      <c r="J398" s="505">
        <f t="shared" si="26"/>
        <v>22435.50578</v>
      </c>
      <c r="K398" s="506">
        <f t="shared" si="27"/>
        <v>0.99706422202702782</v>
      </c>
    </row>
    <row r="399" spans="1:11" ht="21.9" customHeight="1">
      <c r="A399" s="1136"/>
      <c r="B399" s="1130"/>
      <c r="C399" s="493" t="s">
        <v>3137</v>
      </c>
      <c r="D399" s="493" t="s">
        <v>3138</v>
      </c>
      <c r="E399" s="505">
        <v>0</v>
      </c>
      <c r="F399" s="505">
        <f t="shared" si="24"/>
        <v>0</v>
      </c>
      <c r="G399" s="505">
        <v>3213.4</v>
      </c>
      <c r="H399" s="505">
        <f t="shared" si="25"/>
        <v>3.2134</v>
      </c>
      <c r="I399" s="505">
        <v>3213.4</v>
      </c>
      <c r="J399" s="505">
        <f t="shared" si="26"/>
        <v>3.2134</v>
      </c>
      <c r="K399" s="506">
        <f t="shared" si="27"/>
        <v>1</v>
      </c>
    </row>
    <row r="400" spans="1:11" ht="19.5" customHeight="1">
      <c r="A400" s="1136"/>
      <c r="B400" s="1130"/>
      <c r="C400" s="493" t="s">
        <v>3076</v>
      </c>
      <c r="D400" s="493" t="s">
        <v>3077</v>
      </c>
      <c r="E400" s="505">
        <v>0</v>
      </c>
      <c r="F400" s="505">
        <f t="shared" si="24"/>
        <v>0</v>
      </c>
      <c r="G400" s="505">
        <v>85959.2</v>
      </c>
      <c r="H400" s="505">
        <f t="shared" si="25"/>
        <v>85.959199999999996</v>
      </c>
      <c r="I400" s="505">
        <v>85959.2</v>
      </c>
      <c r="J400" s="505">
        <f t="shared" si="26"/>
        <v>85.959199999999996</v>
      </c>
      <c r="K400" s="506">
        <f t="shared" si="27"/>
        <v>1</v>
      </c>
    </row>
    <row r="401" spans="1:11" ht="19.5" customHeight="1">
      <c r="A401" s="1136"/>
      <c r="B401" s="1130"/>
      <c r="C401" s="493" t="s">
        <v>3139</v>
      </c>
      <c r="D401" s="493" t="s">
        <v>3140</v>
      </c>
      <c r="E401" s="505">
        <v>0</v>
      </c>
      <c r="F401" s="505">
        <f t="shared" si="24"/>
        <v>0</v>
      </c>
      <c r="G401" s="505">
        <v>18991060.5</v>
      </c>
      <c r="H401" s="505">
        <f t="shared" si="25"/>
        <v>18991.0605</v>
      </c>
      <c r="I401" s="505">
        <v>0</v>
      </c>
      <c r="J401" s="505">
        <f t="shared" si="26"/>
        <v>0</v>
      </c>
      <c r="K401" s="506">
        <f t="shared" si="27"/>
        <v>0</v>
      </c>
    </row>
    <row r="402" spans="1:11" ht="18.75" customHeight="1">
      <c r="A402" s="1136"/>
      <c r="B402" s="1130"/>
      <c r="C402" s="493" t="s">
        <v>3116</v>
      </c>
      <c r="D402" s="493" t="s">
        <v>3117</v>
      </c>
      <c r="E402" s="505">
        <v>0</v>
      </c>
      <c r="F402" s="505">
        <f t="shared" si="24"/>
        <v>0</v>
      </c>
      <c r="G402" s="505">
        <v>2700</v>
      </c>
      <c r="H402" s="505">
        <f t="shared" si="25"/>
        <v>2.7</v>
      </c>
      <c r="I402" s="505">
        <v>2700</v>
      </c>
      <c r="J402" s="505">
        <f t="shared" si="26"/>
        <v>2.7</v>
      </c>
      <c r="K402" s="506">
        <f t="shared" si="27"/>
        <v>1</v>
      </c>
    </row>
    <row r="403" spans="1:11" ht="21.9" customHeight="1">
      <c r="A403" s="1136"/>
      <c r="B403" s="1130"/>
      <c r="C403" s="493" t="s">
        <v>3185</v>
      </c>
      <c r="D403" s="493" t="s">
        <v>3186</v>
      </c>
      <c r="E403" s="505">
        <v>0</v>
      </c>
      <c r="F403" s="505">
        <f t="shared" si="24"/>
        <v>0</v>
      </c>
      <c r="G403" s="505">
        <v>50000</v>
      </c>
      <c r="H403" s="505">
        <f t="shared" si="25"/>
        <v>50</v>
      </c>
      <c r="I403" s="505">
        <v>50000</v>
      </c>
      <c r="J403" s="505">
        <f t="shared" si="26"/>
        <v>50</v>
      </c>
      <c r="K403" s="506">
        <f t="shared" si="27"/>
        <v>1</v>
      </c>
    </row>
    <row r="404" spans="1:11" ht="21.9" customHeight="1">
      <c r="A404" s="1136"/>
      <c r="B404" s="1130"/>
      <c r="C404" s="493" t="s">
        <v>3212</v>
      </c>
      <c r="D404" s="493" t="s">
        <v>3213</v>
      </c>
      <c r="E404" s="505">
        <v>0</v>
      </c>
      <c r="F404" s="505">
        <f t="shared" si="24"/>
        <v>0</v>
      </c>
      <c r="G404" s="505">
        <v>150000</v>
      </c>
      <c r="H404" s="505">
        <f t="shared" si="25"/>
        <v>150</v>
      </c>
      <c r="I404" s="505">
        <v>150000</v>
      </c>
      <c r="J404" s="505">
        <f t="shared" si="26"/>
        <v>150</v>
      </c>
      <c r="K404" s="506">
        <f t="shared" si="27"/>
        <v>1</v>
      </c>
    </row>
    <row r="405" spans="1:11" ht="18" customHeight="1">
      <c r="A405" s="1136"/>
      <c r="B405" s="1130"/>
      <c r="C405" s="493" t="s">
        <v>3124</v>
      </c>
      <c r="D405" s="493" t="s">
        <v>3125</v>
      </c>
      <c r="E405" s="505">
        <v>3000000</v>
      </c>
      <c r="F405" s="505">
        <f t="shared" si="24"/>
        <v>3000</v>
      </c>
      <c r="G405" s="505">
        <v>3810000</v>
      </c>
      <c r="H405" s="505">
        <f t="shared" si="25"/>
        <v>3810</v>
      </c>
      <c r="I405" s="505">
        <v>3810000</v>
      </c>
      <c r="J405" s="505">
        <f t="shared" si="26"/>
        <v>3810</v>
      </c>
      <c r="K405" s="506">
        <f t="shared" si="27"/>
        <v>1</v>
      </c>
    </row>
    <row r="406" spans="1:11" ht="21.9" customHeight="1">
      <c r="A406" s="1136"/>
      <c r="B406" s="1130"/>
      <c r="C406" s="493" t="s">
        <v>3214</v>
      </c>
      <c r="D406" s="493" t="s">
        <v>3215</v>
      </c>
      <c r="E406" s="505">
        <v>0</v>
      </c>
      <c r="F406" s="505">
        <f t="shared" si="24"/>
        <v>0</v>
      </c>
      <c r="G406" s="505">
        <v>30000</v>
      </c>
      <c r="H406" s="505">
        <f t="shared" si="25"/>
        <v>30</v>
      </c>
      <c r="I406" s="505">
        <v>30000</v>
      </c>
      <c r="J406" s="505">
        <f t="shared" si="26"/>
        <v>30</v>
      </c>
      <c r="K406" s="506">
        <f t="shared" si="27"/>
        <v>1</v>
      </c>
    </row>
    <row r="407" spans="1:11" ht="15.75" customHeight="1">
      <c r="A407" s="1136"/>
      <c r="B407" s="1130"/>
      <c r="C407" s="493" t="s">
        <v>3102</v>
      </c>
      <c r="D407" s="493" t="s">
        <v>1485</v>
      </c>
      <c r="E407" s="505">
        <v>0</v>
      </c>
      <c r="F407" s="505">
        <f t="shared" si="24"/>
        <v>0</v>
      </c>
      <c r="G407" s="505">
        <v>578400</v>
      </c>
      <c r="H407" s="505">
        <f t="shared" si="25"/>
        <v>578.4</v>
      </c>
      <c r="I407" s="505">
        <v>578400</v>
      </c>
      <c r="J407" s="505">
        <f t="shared" si="26"/>
        <v>578.4</v>
      </c>
      <c r="K407" s="506">
        <f t="shared" si="27"/>
        <v>1</v>
      </c>
    </row>
    <row r="408" spans="1:11" ht="21.9" customHeight="1">
      <c r="A408" s="1136" t="s">
        <v>3381</v>
      </c>
      <c r="B408" s="1130" t="s">
        <v>1451</v>
      </c>
      <c r="C408" s="493" t="s">
        <v>3212</v>
      </c>
      <c r="D408" s="493" t="s">
        <v>3213</v>
      </c>
      <c r="E408" s="505">
        <v>0</v>
      </c>
      <c r="F408" s="505">
        <f t="shared" si="24"/>
        <v>0</v>
      </c>
      <c r="G408" s="505">
        <v>100000</v>
      </c>
      <c r="H408" s="505">
        <f t="shared" si="25"/>
        <v>100</v>
      </c>
      <c r="I408" s="505">
        <v>100000</v>
      </c>
      <c r="J408" s="505">
        <f t="shared" si="26"/>
        <v>100</v>
      </c>
      <c r="K408" s="506">
        <f t="shared" si="27"/>
        <v>1</v>
      </c>
    </row>
    <row r="409" spans="1:11" ht="21.9" customHeight="1">
      <c r="A409" s="1136"/>
      <c r="B409" s="1130"/>
      <c r="C409" s="493" t="s">
        <v>3124</v>
      </c>
      <c r="D409" s="493" t="s">
        <v>3125</v>
      </c>
      <c r="E409" s="505">
        <v>0</v>
      </c>
      <c r="F409" s="505">
        <f t="shared" si="24"/>
        <v>0</v>
      </c>
      <c r="G409" s="505">
        <v>100000</v>
      </c>
      <c r="H409" s="505">
        <f t="shared" si="25"/>
        <v>100</v>
      </c>
      <c r="I409" s="505">
        <v>100000</v>
      </c>
      <c r="J409" s="505">
        <f t="shared" si="26"/>
        <v>100</v>
      </c>
      <c r="K409" s="506">
        <f t="shared" si="27"/>
        <v>1</v>
      </c>
    </row>
    <row r="410" spans="1:11" ht="21.9" customHeight="1">
      <c r="A410" s="1137" t="s">
        <v>1780</v>
      </c>
      <c r="B410" s="1152"/>
      <c r="C410" s="1152"/>
      <c r="D410" s="1152"/>
      <c r="E410" s="507">
        <v>113755000</v>
      </c>
      <c r="F410" s="507">
        <f t="shared" si="24"/>
        <v>113755</v>
      </c>
      <c r="G410" s="507">
        <v>244400938.08000001</v>
      </c>
      <c r="H410" s="507">
        <f t="shared" si="25"/>
        <v>244400.93808000002</v>
      </c>
      <c r="I410" s="507">
        <v>195303995.41</v>
      </c>
      <c r="J410" s="507">
        <f t="shared" si="26"/>
        <v>195303.99541</v>
      </c>
      <c r="K410" s="508">
        <f t="shared" si="27"/>
        <v>0.7991131169311263</v>
      </c>
    </row>
    <row r="411" spans="1:11" ht="21.9" customHeight="1">
      <c r="A411" s="1145" t="s">
        <v>1464</v>
      </c>
      <c r="B411" s="1146"/>
      <c r="C411" s="1146"/>
      <c r="D411" s="1146"/>
      <c r="E411" s="1146"/>
      <c r="F411" s="1146"/>
      <c r="G411" s="1146"/>
      <c r="H411" s="1146"/>
      <c r="I411" s="1146"/>
      <c r="J411" s="1146"/>
      <c r="K411" s="1147"/>
    </row>
    <row r="412" spans="1:11" ht="21.9" customHeight="1">
      <c r="A412" s="509" t="s">
        <v>1162</v>
      </c>
      <c r="B412" s="493" t="s">
        <v>3091</v>
      </c>
      <c r="C412" s="493" t="s">
        <v>3169</v>
      </c>
      <c r="D412" s="493" t="s">
        <v>1482</v>
      </c>
      <c r="E412" s="505">
        <v>0</v>
      </c>
      <c r="F412" s="505">
        <f t="shared" si="24"/>
        <v>0</v>
      </c>
      <c r="G412" s="505">
        <v>165030</v>
      </c>
      <c r="H412" s="505">
        <f t="shared" si="25"/>
        <v>165.03</v>
      </c>
      <c r="I412" s="505">
        <v>165030</v>
      </c>
      <c r="J412" s="505">
        <f t="shared" si="26"/>
        <v>165.03</v>
      </c>
      <c r="K412" s="506">
        <f t="shared" ref="K412:K474" si="28">I412/G412</f>
        <v>1</v>
      </c>
    </row>
    <row r="413" spans="1:11" ht="21.9" customHeight="1">
      <c r="A413" s="1136" t="s">
        <v>3382</v>
      </c>
      <c r="B413" s="1130" t="s">
        <v>3383</v>
      </c>
      <c r="C413" s="493" t="s">
        <v>3132</v>
      </c>
      <c r="D413" s="493" t="s">
        <v>1470</v>
      </c>
      <c r="E413" s="505">
        <v>0</v>
      </c>
      <c r="F413" s="505">
        <f t="shared" si="24"/>
        <v>0</v>
      </c>
      <c r="G413" s="505">
        <v>283299</v>
      </c>
      <c r="H413" s="505">
        <f t="shared" si="25"/>
        <v>283.29899999999998</v>
      </c>
      <c r="I413" s="505">
        <v>283299</v>
      </c>
      <c r="J413" s="505">
        <f t="shared" si="26"/>
        <v>283.29899999999998</v>
      </c>
      <c r="K413" s="506">
        <f t="shared" si="28"/>
        <v>1</v>
      </c>
    </row>
    <row r="414" spans="1:11" ht="21.9" customHeight="1">
      <c r="A414" s="1136"/>
      <c r="B414" s="1130"/>
      <c r="C414" s="493" t="s">
        <v>3115</v>
      </c>
      <c r="D414" s="493" t="s">
        <v>1492</v>
      </c>
      <c r="E414" s="505">
        <v>0</v>
      </c>
      <c r="F414" s="505">
        <f t="shared" si="24"/>
        <v>0</v>
      </c>
      <c r="G414" s="505">
        <v>239444</v>
      </c>
      <c r="H414" s="505">
        <f t="shared" si="25"/>
        <v>239.44399999999999</v>
      </c>
      <c r="I414" s="505">
        <v>218660</v>
      </c>
      <c r="J414" s="505">
        <f t="shared" si="26"/>
        <v>218.66</v>
      </c>
      <c r="K414" s="506">
        <f t="shared" si="28"/>
        <v>0.91319891081004323</v>
      </c>
    </row>
    <row r="415" spans="1:11" ht="21.9" customHeight="1">
      <c r="A415" s="1136"/>
      <c r="B415" s="1130"/>
      <c r="C415" s="493" t="s">
        <v>3133</v>
      </c>
      <c r="D415" s="493" t="s">
        <v>3134</v>
      </c>
      <c r="E415" s="505">
        <v>0</v>
      </c>
      <c r="F415" s="505">
        <f t="shared" si="24"/>
        <v>0</v>
      </c>
      <c r="G415" s="505">
        <v>130688</v>
      </c>
      <c r="H415" s="505">
        <f t="shared" si="25"/>
        <v>130.68799999999999</v>
      </c>
      <c r="I415" s="505">
        <v>125491</v>
      </c>
      <c r="J415" s="505">
        <f t="shared" si="26"/>
        <v>125.491</v>
      </c>
      <c r="K415" s="506">
        <f t="shared" si="28"/>
        <v>0.96023353330068562</v>
      </c>
    </row>
    <row r="416" spans="1:11" ht="21.9" customHeight="1">
      <c r="A416" s="1136"/>
      <c r="B416" s="1130"/>
      <c r="C416" s="493" t="s">
        <v>3135</v>
      </c>
      <c r="D416" s="493" t="s">
        <v>3136</v>
      </c>
      <c r="E416" s="505">
        <v>0</v>
      </c>
      <c r="F416" s="505">
        <f t="shared" si="24"/>
        <v>0</v>
      </c>
      <c r="G416" s="505">
        <v>47049</v>
      </c>
      <c r="H416" s="505">
        <f t="shared" si="25"/>
        <v>47.048999999999999</v>
      </c>
      <c r="I416" s="505">
        <v>45177</v>
      </c>
      <c r="J416" s="505">
        <f t="shared" si="26"/>
        <v>45.177</v>
      </c>
      <c r="K416" s="506">
        <f t="shared" si="28"/>
        <v>0.96021169419116237</v>
      </c>
    </row>
    <row r="417" spans="1:11" ht="21.9" customHeight="1">
      <c r="A417" s="1136" t="s">
        <v>3382</v>
      </c>
      <c r="B417" s="1130" t="s">
        <v>3383</v>
      </c>
      <c r="C417" s="493" t="s">
        <v>3154</v>
      </c>
      <c r="D417" s="493" t="s">
        <v>3155</v>
      </c>
      <c r="E417" s="505">
        <v>0</v>
      </c>
      <c r="F417" s="505">
        <f t="shared" si="24"/>
        <v>0</v>
      </c>
      <c r="G417" s="505">
        <v>33</v>
      </c>
      <c r="H417" s="505">
        <f t="shared" si="25"/>
        <v>3.3000000000000002E-2</v>
      </c>
      <c r="I417" s="505">
        <v>33</v>
      </c>
      <c r="J417" s="505">
        <f t="shared" si="26"/>
        <v>3.3000000000000002E-2</v>
      </c>
      <c r="K417" s="506">
        <f t="shared" si="28"/>
        <v>1</v>
      </c>
    </row>
    <row r="418" spans="1:11" ht="21.9" customHeight="1">
      <c r="A418" s="1136"/>
      <c r="B418" s="1130"/>
      <c r="C418" s="493" t="s">
        <v>3139</v>
      </c>
      <c r="D418" s="493" t="s">
        <v>3140</v>
      </c>
      <c r="E418" s="505">
        <v>0</v>
      </c>
      <c r="F418" s="505">
        <f t="shared" si="24"/>
        <v>0</v>
      </c>
      <c r="G418" s="505">
        <v>485957</v>
      </c>
      <c r="H418" s="505">
        <f t="shared" si="25"/>
        <v>485.95699999999999</v>
      </c>
      <c r="I418" s="505">
        <v>0</v>
      </c>
      <c r="J418" s="505">
        <f t="shared" si="26"/>
        <v>0</v>
      </c>
      <c r="K418" s="506">
        <f t="shared" si="28"/>
        <v>0</v>
      </c>
    </row>
    <row r="419" spans="1:11" ht="21.9" customHeight="1">
      <c r="A419" s="509" t="s">
        <v>3384</v>
      </c>
      <c r="B419" s="493" t="s">
        <v>3385</v>
      </c>
      <c r="C419" s="493" t="s">
        <v>3115</v>
      </c>
      <c r="D419" s="493" t="s">
        <v>1492</v>
      </c>
      <c r="E419" s="505">
        <v>0</v>
      </c>
      <c r="F419" s="505">
        <f t="shared" si="24"/>
        <v>0</v>
      </c>
      <c r="G419" s="505">
        <v>700000</v>
      </c>
      <c r="H419" s="505">
        <f t="shared" si="25"/>
        <v>700</v>
      </c>
      <c r="I419" s="505">
        <v>685000</v>
      </c>
      <c r="J419" s="505">
        <f t="shared" si="26"/>
        <v>685</v>
      </c>
      <c r="K419" s="506">
        <f t="shared" si="28"/>
        <v>0.97857142857142854</v>
      </c>
    </row>
    <row r="420" spans="1:11" ht="21.9" customHeight="1">
      <c r="A420" s="1136" t="s">
        <v>3386</v>
      </c>
      <c r="B420" s="1130" t="s">
        <v>1474</v>
      </c>
      <c r="C420" s="493" t="s">
        <v>3132</v>
      </c>
      <c r="D420" s="493" t="s">
        <v>1470</v>
      </c>
      <c r="E420" s="505">
        <v>0</v>
      </c>
      <c r="F420" s="505">
        <f t="shared" si="24"/>
        <v>0</v>
      </c>
      <c r="G420" s="505">
        <v>31505</v>
      </c>
      <c r="H420" s="505">
        <f t="shared" si="25"/>
        <v>31.504999999999999</v>
      </c>
      <c r="I420" s="505">
        <v>31505</v>
      </c>
      <c r="J420" s="505">
        <f t="shared" si="26"/>
        <v>31.504999999999999</v>
      </c>
      <c r="K420" s="506">
        <f t="shared" si="28"/>
        <v>1</v>
      </c>
    </row>
    <row r="421" spans="1:11" ht="21.9" customHeight="1">
      <c r="A421" s="1136"/>
      <c r="B421" s="1130"/>
      <c r="C421" s="493" t="s">
        <v>3115</v>
      </c>
      <c r="D421" s="493" t="s">
        <v>1492</v>
      </c>
      <c r="E421" s="505">
        <v>0</v>
      </c>
      <c r="F421" s="505">
        <f t="shared" si="24"/>
        <v>0</v>
      </c>
      <c r="G421" s="505">
        <v>64000</v>
      </c>
      <c r="H421" s="505">
        <f t="shared" si="25"/>
        <v>64</v>
      </c>
      <c r="I421" s="505">
        <v>64000</v>
      </c>
      <c r="J421" s="505">
        <f t="shared" si="26"/>
        <v>64</v>
      </c>
      <c r="K421" s="506">
        <f t="shared" si="28"/>
        <v>1</v>
      </c>
    </row>
    <row r="422" spans="1:11" ht="21.9" customHeight="1">
      <c r="A422" s="1136"/>
      <c r="B422" s="1130"/>
      <c r="C422" s="493" t="s">
        <v>3133</v>
      </c>
      <c r="D422" s="493" t="s">
        <v>3134</v>
      </c>
      <c r="E422" s="505">
        <v>0</v>
      </c>
      <c r="F422" s="505">
        <f t="shared" si="24"/>
        <v>0</v>
      </c>
      <c r="G422" s="505">
        <v>7876</v>
      </c>
      <c r="H422" s="505">
        <f t="shared" si="25"/>
        <v>7.8760000000000003</v>
      </c>
      <c r="I422" s="505">
        <v>7876</v>
      </c>
      <c r="J422" s="505">
        <f t="shared" si="26"/>
        <v>7.8760000000000003</v>
      </c>
      <c r="K422" s="506">
        <f t="shared" si="28"/>
        <v>1</v>
      </c>
    </row>
    <row r="423" spans="1:11" ht="21.9" customHeight="1">
      <c r="A423" s="1136"/>
      <c r="B423" s="1130"/>
      <c r="C423" s="493" t="s">
        <v>3135</v>
      </c>
      <c r="D423" s="493" t="s">
        <v>3136</v>
      </c>
      <c r="E423" s="505">
        <v>0</v>
      </c>
      <c r="F423" s="505">
        <f t="shared" si="24"/>
        <v>0</v>
      </c>
      <c r="G423" s="505">
        <v>2836</v>
      </c>
      <c r="H423" s="505">
        <f t="shared" si="25"/>
        <v>2.8359999999999999</v>
      </c>
      <c r="I423" s="505">
        <v>2836</v>
      </c>
      <c r="J423" s="505">
        <f t="shared" si="26"/>
        <v>2.8359999999999999</v>
      </c>
      <c r="K423" s="506">
        <f t="shared" si="28"/>
        <v>1</v>
      </c>
    </row>
    <row r="424" spans="1:11" ht="21.9" customHeight="1">
      <c r="A424" s="1136"/>
      <c r="B424" s="1130"/>
      <c r="C424" s="493" t="s">
        <v>3072</v>
      </c>
      <c r="D424" s="493" t="s">
        <v>3073</v>
      </c>
      <c r="E424" s="505">
        <v>0</v>
      </c>
      <c r="F424" s="505">
        <f t="shared" si="24"/>
        <v>0</v>
      </c>
      <c r="G424" s="505">
        <v>0</v>
      </c>
      <c r="H424" s="505">
        <f t="shared" si="25"/>
        <v>0</v>
      </c>
      <c r="I424" s="505">
        <v>1950</v>
      </c>
      <c r="J424" s="505">
        <f t="shared" si="26"/>
        <v>1.95</v>
      </c>
      <c r="K424" s="510" t="s">
        <v>1147</v>
      </c>
    </row>
    <row r="425" spans="1:11" ht="21.9" customHeight="1">
      <c r="A425" s="1136"/>
      <c r="B425" s="1130"/>
      <c r="C425" s="493" t="s">
        <v>3387</v>
      </c>
      <c r="D425" s="493" t="s">
        <v>3388</v>
      </c>
      <c r="E425" s="505">
        <v>0</v>
      </c>
      <c r="F425" s="505">
        <f t="shared" si="24"/>
        <v>0</v>
      </c>
      <c r="G425" s="505">
        <v>0</v>
      </c>
      <c r="H425" s="505">
        <f t="shared" si="25"/>
        <v>0</v>
      </c>
      <c r="I425" s="505">
        <v>1950</v>
      </c>
      <c r="J425" s="505">
        <f t="shared" si="26"/>
        <v>1.95</v>
      </c>
      <c r="K425" s="510" t="s">
        <v>1147</v>
      </c>
    </row>
    <row r="426" spans="1:11" ht="21.9" customHeight="1">
      <c r="A426" s="1136"/>
      <c r="B426" s="1130"/>
      <c r="C426" s="493" t="s">
        <v>3389</v>
      </c>
      <c r="D426" s="493" t="s">
        <v>3390</v>
      </c>
      <c r="E426" s="505">
        <v>0</v>
      </c>
      <c r="F426" s="505">
        <f t="shared" si="24"/>
        <v>0</v>
      </c>
      <c r="G426" s="505">
        <v>0</v>
      </c>
      <c r="H426" s="505">
        <f t="shared" si="25"/>
        <v>0</v>
      </c>
      <c r="I426" s="505">
        <v>3600</v>
      </c>
      <c r="J426" s="505">
        <f t="shared" si="26"/>
        <v>3.6</v>
      </c>
      <c r="K426" s="510" t="s">
        <v>1147</v>
      </c>
    </row>
    <row r="427" spans="1:11" ht="21.9" customHeight="1">
      <c r="A427" s="1136"/>
      <c r="B427" s="1130"/>
      <c r="C427" s="493" t="s">
        <v>3148</v>
      </c>
      <c r="D427" s="493" t="s">
        <v>3149</v>
      </c>
      <c r="E427" s="505">
        <v>0</v>
      </c>
      <c r="F427" s="505">
        <f t="shared" si="24"/>
        <v>0</v>
      </c>
      <c r="G427" s="505">
        <v>0</v>
      </c>
      <c r="H427" s="505">
        <f t="shared" si="25"/>
        <v>0</v>
      </c>
      <c r="I427" s="505">
        <v>3909.7</v>
      </c>
      <c r="J427" s="505">
        <f t="shared" si="26"/>
        <v>3.9097</v>
      </c>
      <c r="K427" s="510" t="s">
        <v>1147</v>
      </c>
    </row>
    <row r="428" spans="1:11" ht="21.9" customHeight="1">
      <c r="A428" s="1136"/>
      <c r="B428" s="1130"/>
      <c r="C428" s="493" t="s">
        <v>3156</v>
      </c>
      <c r="D428" s="493" t="s">
        <v>3157</v>
      </c>
      <c r="E428" s="505">
        <v>0</v>
      </c>
      <c r="F428" s="505">
        <f t="shared" si="24"/>
        <v>0</v>
      </c>
      <c r="G428" s="505">
        <v>93783</v>
      </c>
      <c r="H428" s="505">
        <f t="shared" si="25"/>
        <v>93.783000000000001</v>
      </c>
      <c r="I428" s="505">
        <v>102879.4</v>
      </c>
      <c r="J428" s="505">
        <f t="shared" si="26"/>
        <v>102.87939999999999</v>
      </c>
      <c r="K428" s="506">
        <f t="shared" si="28"/>
        <v>1.0969941247347599</v>
      </c>
    </row>
    <row r="429" spans="1:11" ht="21.9" customHeight="1">
      <c r="A429" s="1136"/>
      <c r="B429" s="1130"/>
      <c r="C429" s="493" t="s">
        <v>3074</v>
      </c>
      <c r="D429" s="493" t="s">
        <v>3075</v>
      </c>
      <c r="E429" s="505">
        <v>0</v>
      </c>
      <c r="F429" s="505">
        <f t="shared" si="24"/>
        <v>0</v>
      </c>
      <c r="G429" s="505">
        <v>0</v>
      </c>
      <c r="H429" s="505">
        <f t="shared" si="25"/>
        <v>0</v>
      </c>
      <c r="I429" s="505">
        <v>4200</v>
      </c>
      <c r="J429" s="505">
        <f t="shared" si="26"/>
        <v>4.2</v>
      </c>
      <c r="K429" s="510" t="s">
        <v>1147</v>
      </c>
    </row>
    <row r="430" spans="1:11" ht="21.9" customHeight="1">
      <c r="A430" s="1136"/>
      <c r="B430" s="1130"/>
      <c r="C430" s="493" t="s">
        <v>3076</v>
      </c>
      <c r="D430" s="493" t="s">
        <v>3077</v>
      </c>
      <c r="E430" s="505">
        <v>0</v>
      </c>
      <c r="F430" s="505">
        <f t="shared" si="24"/>
        <v>0</v>
      </c>
      <c r="G430" s="505">
        <v>0</v>
      </c>
      <c r="H430" s="505">
        <f t="shared" si="25"/>
        <v>0</v>
      </c>
      <c r="I430" s="505">
        <v>1023</v>
      </c>
      <c r="J430" s="505">
        <f t="shared" si="26"/>
        <v>1.0229999999999999</v>
      </c>
      <c r="K430" s="510" t="s">
        <v>1147</v>
      </c>
    </row>
    <row r="431" spans="1:11" ht="21.9" customHeight="1">
      <c r="A431" s="1136" t="s">
        <v>3391</v>
      </c>
      <c r="B431" s="1130" t="s">
        <v>1475</v>
      </c>
      <c r="C431" s="493" t="s">
        <v>3132</v>
      </c>
      <c r="D431" s="493" t="s">
        <v>1470</v>
      </c>
      <c r="E431" s="505">
        <v>0</v>
      </c>
      <c r="F431" s="505">
        <f t="shared" si="24"/>
        <v>0</v>
      </c>
      <c r="G431" s="505">
        <v>92107.87</v>
      </c>
      <c r="H431" s="505">
        <f t="shared" si="25"/>
        <v>92.107869999999991</v>
      </c>
      <c r="I431" s="505">
        <v>86276</v>
      </c>
      <c r="J431" s="505">
        <f t="shared" si="26"/>
        <v>86.275999999999996</v>
      </c>
      <c r="K431" s="506">
        <f t="shared" si="28"/>
        <v>0.93668434629961594</v>
      </c>
    </row>
    <row r="432" spans="1:11" ht="21.9" customHeight="1">
      <c r="A432" s="1136"/>
      <c r="B432" s="1130"/>
      <c r="C432" s="493" t="s">
        <v>3115</v>
      </c>
      <c r="D432" s="493" t="s">
        <v>1492</v>
      </c>
      <c r="E432" s="505">
        <v>0</v>
      </c>
      <c r="F432" s="505">
        <f t="shared" si="24"/>
        <v>0</v>
      </c>
      <c r="G432" s="505">
        <v>65600</v>
      </c>
      <c r="H432" s="505">
        <f t="shared" si="25"/>
        <v>65.599999999999994</v>
      </c>
      <c r="I432" s="505">
        <v>65600</v>
      </c>
      <c r="J432" s="505">
        <f t="shared" si="26"/>
        <v>65.599999999999994</v>
      </c>
      <c r="K432" s="506">
        <f t="shared" si="28"/>
        <v>1</v>
      </c>
    </row>
    <row r="433" spans="1:11" ht="21.9" customHeight="1">
      <c r="A433" s="1136"/>
      <c r="B433" s="1130"/>
      <c r="C433" s="493" t="s">
        <v>3133</v>
      </c>
      <c r="D433" s="493" t="s">
        <v>3134</v>
      </c>
      <c r="E433" s="505">
        <v>0</v>
      </c>
      <c r="F433" s="505">
        <f t="shared" si="24"/>
        <v>0</v>
      </c>
      <c r="G433" s="505">
        <v>21570</v>
      </c>
      <c r="H433" s="505">
        <f t="shared" si="25"/>
        <v>21.57</v>
      </c>
      <c r="I433" s="505">
        <v>21570</v>
      </c>
      <c r="J433" s="505">
        <f t="shared" si="26"/>
        <v>21.57</v>
      </c>
      <c r="K433" s="506">
        <f t="shared" si="28"/>
        <v>1</v>
      </c>
    </row>
    <row r="434" spans="1:11" ht="21.9" customHeight="1">
      <c r="A434" s="1136"/>
      <c r="B434" s="1130"/>
      <c r="C434" s="493" t="s">
        <v>3135</v>
      </c>
      <c r="D434" s="493" t="s">
        <v>3136</v>
      </c>
      <c r="E434" s="505">
        <v>0</v>
      </c>
      <c r="F434" s="505">
        <f t="shared" si="24"/>
        <v>0</v>
      </c>
      <c r="G434" s="505">
        <v>7766</v>
      </c>
      <c r="H434" s="505">
        <f t="shared" si="25"/>
        <v>7.766</v>
      </c>
      <c r="I434" s="505">
        <v>7766</v>
      </c>
      <c r="J434" s="505">
        <f t="shared" si="26"/>
        <v>7.766</v>
      </c>
      <c r="K434" s="506">
        <f t="shared" si="28"/>
        <v>1</v>
      </c>
    </row>
    <row r="435" spans="1:11" ht="21.9" customHeight="1">
      <c r="A435" s="1136"/>
      <c r="B435" s="1130"/>
      <c r="C435" s="493" t="s">
        <v>3072</v>
      </c>
      <c r="D435" s="493" t="s">
        <v>3073</v>
      </c>
      <c r="E435" s="505">
        <v>0</v>
      </c>
      <c r="F435" s="505">
        <f t="shared" si="24"/>
        <v>0</v>
      </c>
      <c r="G435" s="505">
        <v>2040</v>
      </c>
      <c r="H435" s="505">
        <f t="shared" si="25"/>
        <v>2.04</v>
      </c>
      <c r="I435" s="505">
        <v>2040</v>
      </c>
      <c r="J435" s="505">
        <f t="shared" si="26"/>
        <v>2.04</v>
      </c>
      <c r="K435" s="506">
        <f t="shared" si="28"/>
        <v>1</v>
      </c>
    </row>
    <row r="436" spans="1:11" ht="21.9" customHeight="1">
      <c r="A436" s="1136"/>
      <c r="B436" s="1130"/>
      <c r="C436" s="493" t="s">
        <v>3387</v>
      </c>
      <c r="D436" s="493" t="s">
        <v>3388</v>
      </c>
      <c r="E436" s="505">
        <v>0</v>
      </c>
      <c r="F436" s="505">
        <f t="shared" si="24"/>
        <v>0</v>
      </c>
      <c r="G436" s="505">
        <v>2040</v>
      </c>
      <c r="H436" s="505">
        <f t="shared" si="25"/>
        <v>2.04</v>
      </c>
      <c r="I436" s="505">
        <v>2040</v>
      </c>
      <c r="J436" s="505">
        <f t="shared" si="26"/>
        <v>2.04</v>
      </c>
      <c r="K436" s="506">
        <f t="shared" si="28"/>
        <v>1</v>
      </c>
    </row>
    <row r="437" spans="1:11" ht="21.9" customHeight="1">
      <c r="A437" s="1136"/>
      <c r="B437" s="1130"/>
      <c r="C437" s="493" t="s">
        <v>3392</v>
      </c>
      <c r="D437" s="493" t="s">
        <v>3393</v>
      </c>
      <c r="E437" s="505">
        <v>0</v>
      </c>
      <c r="F437" s="505">
        <f t="shared" si="24"/>
        <v>0</v>
      </c>
      <c r="G437" s="505">
        <v>2550</v>
      </c>
      <c r="H437" s="505">
        <f t="shared" si="25"/>
        <v>2.5499999999999998</v>
      </c>
      <c r="I437" s="505">
        <v>2550</v>
      </c>
      <c r="J437" s="505">
        <f t="shared" si="26"/>
        <v>2.5499999999999998</v>
      </c>
      <c r="K437" s="506">
        <f t="shared" si="28"/>
        <v>1</v>
      </c>
    </row>
    <row r="438" spans="1:11" ht="21.9" customHeight="1">
      <c r="A438" s="1136"/>
      <c r="B438" s="1130"/>
      <c r="C438" s="493" t="s">
        <v>3389</v>
      </c>
      <c r="D438" s="493" t="s">
        <v>3390</v>
      </c>
      <c r="E438" s="505">
        <v>0</v>
      </c>
      <c r="F438" s="505">
        <f t="shared" si="24"/>
        <v>0</v>
      </c>
      <c r="G438" s="505">
        <v>2550</v>
      </c>
      <c r="H438" s="505">
        <f t="shared" si="25"/>
        <v>2.5499999999999998</v>
      </c>
      <c r="I438" s="505">
        <v>2550</v>
      </c>
      <c r="J438" s="505">
        <f t="shared" si="26"/>
        <v>2.5499999999999998</v>
      </c>
      <c r="K438" s="506">
        <f t="shared" si="28"/>
        <v>1</v>
      </c>
    </row>
    <row r="439" spans="1:11" ht="21.9" customHeight="1">
      <c r="A439" s="1136"/>
      <c r="B439" s="1130"/>
      <c r="C439" s="493" t="s">
        <v>3148</v>
      </c>
      <c r="D439" s="493" t="s">
        <v>3149</v>
      </c>
      <c r="E439" s="505">
        <v>0</v>
      </c>
      <c r="F439" s="505">
        <f t="shared" si="24"/>
        <v>0</v>
      </c>
      <c r="G439" s="505">
        <v>4147.13</v>
      </c>
      <c r="H439" s="505">
        <f t="shared" si="25"/>
        <v>4.1471299999999998</v>
      </c>
      <c r="I439" s="505">
        <v>4147.13</v>
      </c>
      <c r="J439" s="505">
        <f t="shared" si="26"/>
        <v>4.1471299999999998</v>
      </c>
      <c r="K439" s="506">
        <f t="shared" si="28"/>
        <v>1</v>
      </c>
    </row>
    <row r="440" spans="1:11" ht="21.9" customHeight="1">
      <c r="A440" s="1136"/>
      <c r="B440" s="1130"/>
      <c r="C440" s="493" t="s">
        <v>3156</v>
      </c>
      <c r="D440" s="493" t="s">
        <v>3157</v>
      </c>
      <c r="E440" s="505">
        <v>0</v>
      </c>
      <c r="F440" s="505">
        <f t="shared" si="24"/>
        <v>0</v>
      </c>
      <c r="G440" s="505">
        <v>117974</v>
      </c>
      <c r="H440" s="505">
        <f t="shared" si="25"/>
        <v>117.974</v>
      </c>
      <c r="I440" s="505">
        <v>116480</v>
      </c>
      <c r="J440" s="505">
        <f t="shared" si="26"/>
        <v>116.48</v>
      </c>
      <c r="K440" s="506">
        <f t="shared" si="28"/>
        <v>0.98733619272042994</v>
      </c>
    </row>
    <row r="441" spans="1:11" ht="21.9" customHeight="1">
      <c r="A441" s="1136"/>
      <c r="B441" s="1130"/>
      <c r="C441" s="493" t="s">
        <v>3074</v>
      </c>
      <c r="D441" s="493" t="s">
        <v>3075</v>
      </c>
      <c r="E441" s="505">
        <v>0</v>
      </c>
      <c r="F441" s="505">
        <f t="shared" si="24"/>
        <v>0</v>
      </c>
      <c r="G441" s="505">
        <v>200</v>
      </c>
      <c r="H441" s="505">
        <f t="shared" si="25"/>
        <v>0.2</v>
      </c>
      <c r="I441" s="505">
        <v>200</v>
      </c>
      <c r="J441" s="505">
        <f t="shared" si="26"/>
        <v>0.2</v>
      </c>
      <c r="K441" s="506">
        <f t="shared" si="28"/>
        <v>1</v>
      </c>
    </row>
    <row r="442" spans="1:11" ht="21.9" customHeight="1">
      <c r="A442" s="1136"/>
      <c r="B442" s="1130"/>
      <c r="C442" s="493" t="s">
        <v>3076</v>
      </c>
      <c r="D442" s="493" t="s">
        <v>3077</v>
      </c>
      <c r="E442" s="505">
        <v>0</v>
      </c>
      <c r="F442" s="505">
        <f t="shared" si="24"/>
        <v>0</v>
      </c>
      <c r="G442" s="505">
        <v>1455</v>
      </c>
      <c r="H442" s="505">
        <f t="shared" si="25"/>
        <v>1.4550000000000001</v>
      </c>
      <c r="I442" s="505">
        <v>1455</v>
      </c>
      <c r="J442" s="505">
        <f t="shared" si="26"/>
        <v>1.4550000000000001</v>
      </c>
      <c r="K442" s="506">
        <f t="shared" si="28"/>
        <v>1</v>
      </c>
    </row>
    <row r="443" spans="1:11" ht="21.9" customHeight="1">
      <c r="A443" s="509" t="s">
        <v>3276</v>
      </c>
      <c r="B443" s="493" t="s">
        <v>3277</v>
      </c>
      <c r="C443" s="493" t="s">
        <v>3072</v>
      </c>
      <c r="D443" s="493" t="s">
        <v>3073</v>
      </c>
      <c r="E443" s="505">
        <v>0</v>
      </c>
      <c r="F443" s="505">
        <f t="shared" si="24"/>
        <v>0</v>
      </c>
      <c r="G443" s="505">
        <v>326463</v>
      </c>
      <c r="H443" s="505">
        <f t="shared" si="25"/>
        <v>326.46300000000002</v>
      </c>
      <c r="I443" s="505">
        <v>0</v>
      </c>
      <c r="J443" s="505">
        <f t="shared" si="26"/>
        <v>0</v>
      </c>
      <c r="K443" s="506">
        <f t="shared" si="28"/>
        <v>0</v>
      </c>
    </row>
    <row r="444" spans="1:11" ht="21.9" customHeight="1">
      <c r="A444" s="1136" t="s">
        <v>3394</v>
      </c>
      <c r="B444" s="1130" t="s">
        <v>3395</v>
      </c>
      <c r="C444" s="493" t="s">
        <v>3132</v>
      </c>
      <c r="D444" s="493" t="s">
        <v>1470</v>
      </c>
      <c r="E444" s="505">
        <v>130790000</v>
      </c>
      <c r="F444" s="505">
        <f t="shared" si="24"/>
        <v>130790</v>
      </c>
      <c r="G444" s="505">
        <v>133995870</v>
      </c>
      <c r="H444" s="505">
        <f t="shared" si="25"/>
        <v>133995.87</v>
      </c>
      <c r="I444" s="505">
        <v>132869984</v>
      </c>
      <c r="J444" s="505">
        <f t="shared" si="26"/>
        <v>132869.984</v>
      </c>
      <c r="K444" s="506">
        <f t="shared" si="28"/>
        <v>0.99159760670235586</v>
      </c>
    </row>
    <row r="445" spans="1:11" ht="21.9" customHeight="1">
      <c r="A445" s="1136"/>
      <c r="B445" s="1130"/>
      <c r="C445" s="493" t="s">
        <v>3115</v>
      </c>
      <c r="D445" s="493" t="s">
        <v>1492</v>
      </c>
      <c r="E445" s="505">
        <v>1350000</v>
      </c>
      <c r="F445" s="505">
        <f t="shared" si="24"/>
        <v>1350</v>
      </c>
      <c r="G445" s="505">
        <v>1350000</v>
      </c>
      <c r="H445" s="505">
        <f t="shared" si="25"/>
        <v>1350</v>
      </c>
      <c r="I445" s="505">
        <v>1163840</v>
      </c>
      <c r="J445" s="505">
        <f t="shared" si="26"/>
        <v>1163.8399999999999</v>
      </c>
      <c r="K445" s="506">
        <f t="shared" si="28"/>
        <v>0.86210370370370371</v>
      </c>
    </row>
    <row r="446" spans="1:11" ht="21.9" customHeight="1">
      <c r="A446" s="1136"/>
      <c r="B446" s="1130"/>
      <c r="C446" s="493" t="s">
        <v>3396</v>
      </c>
      <c r="D446" s="493" t="s">
        <v>3397</v>
      </c>
      <c r="E446" s="505">
        <v>240000</v>
      </c>
      <c r="F446" s="505">
        <f t="shared" si="24"/>
        <v>240</v>
      </c>
      <c r="G446" s="505">
        <v>240000</v>
      </c>
      <c r="H446" s="505">
        <f t="shared" si="25"/>
        <v>240</v>
      </c>
      <c r="I446" s="505">
        <v>0</v>
      </c>
      <c r="J446" s="505">
        <f t="shared" si="26"/>
        <v>0</v>
      </c>
      <c r="K446" s="506">
        <f t="shared" si="28"/>
        <v>0</v>
      </c>
    </row>
    <row r="447" spans="1:11" ht="21.9" customHeight="1">
      <c r="A447" s="1136"/>
      <c r="B447" s="1130"/>
      <c r="C447" s="493" t="s">
        <v>3398</v>
      </c>
      <c r="D447" s="493" t="s">
        <v>3399</v>
      </c>
      <c r="E447" s="505">
        <v>180000</v>
      </c>
      <c r="F447" s="505">
        <f t="shared" si="24"/>
        <v>180</v>
      </c>
      <c r="G447" s="505">
        <v>180000</v>
      </c>
      <c r="H447" s="505">
        <f t="shared" si="25"/>
        <v>180</v>
      </c>
      <c r="I447" s="505">
        <v>170624</v>
      </c>
      <c r="J447" s="505">
        <f t="shared" si="26"/>
        <v>170.624</v>
      </c>
      <c r="K447" s="506">
        <f t="shared" si="28"/>
        <v>0.94791111111111115</v>
      </c>
    </row>
    <row r="448" spans="1:11" ht="21.9" customHeight="1">
      <c r="A448" s="1136"/>
      <c r="B448" s="1130"/>
      <c r="C448" s="493" t="s">
        <v>3133</v>
      </c>
      <c r="D448" s="493" t="s">
        <v>3134</v>
      </c>
      <c r="E448" s="505">
        <v>33427000</v>
      </c>
      <c r="F448" s="505">
        <f t="shared" si="24"/>
        <v>33427</v>
      </c>
      <c r="G448" s="505">
        <v>34243468</v>
      </c>
      <c r="H448" s="505">
        <f t="shared" si="25"/>
        <v>34243.468000000001</v>
      </c>
      <c r="I448" s="505">
        <v>33513535</v>
      </c>
      <c r="J448" s="505">
        <f t="shared" si="26"/>
        <v>33513.535000000003</v>
      </c>
      <c r="K448" s="506">
        <f t="shared" si="28"/>
        <v>0.97868402230755369</v>
      </c>
    </row>
    <row r="449" spans="1:11" ht="21.9" customHeight="1">
      <c r="A449" s="1136"/>
      <c r="B449" s="1130"/>
      <c r="C449" s="493" t="s">
        <v>3135</v>
      </c>
      <c r="D449" s="493" t="s">
        <v>3136</v>
      </c>
      <c r="E449" s="505">
        <v>12033120</v>
      </c>
      <c r="F449" s="505">
        <f t="shared" si="24"/>
        <v>12033.12</v>
      </c>
      <c r="G449" s="505">
        <v>12327050</v>
      </c>
      <c r="H449" s="505">
        <f t="shared" si="25"/>
        <v>12327.05</v>
      </c>
      <c r="I449" s="505">
        <v>12175542</v>
      </c>
      <c r="J449" s="505">
        <f t="shared" si="26"/>
        <v>12175.541999999999</v>
      </c>
      <c r="K449" s="506">
        <f t="shared" si="28"/>
        <v>0.98770930595722417</v>
      </c>
    </row>
    <row r="450" spans="1:11" ht="21.9" customHeight="1">
      <c r="A450" s="1136"/>
      <c r="B450" s="1130"/>
      <c r="C450" s="493" t="s">
        <v>3143</v>
      </c>
      <c r="D450" s="493" t="s">
        <v>3144</v>
      </c>
      <c r="E450" s="505">
        <v>650000</v>
      </c>
      <c r="F450" s="505">
        <f t="shared" si="24"/>
        <v>650</v>
      </c>
      <c r="G450" s="505">
        <v>650000</v>
      </c>
      <c r="H450" s="505">
        <f t="shared" si="25"/>
        <v>650</v>
      </c>
      <c r="I450" s="505">
        <v>627708</v>
      </c>
      <c r="J450" s="505">
        <f t="shared" si="26"/>
        <v>627.70799999999997</v>
      </c>
      <c r="K450" s="506">
        <f t="shared" si="28"/>
        <v>0.96570461538461538</v>
      </c>
    </row>
    <row r="451" spans="1:11" ht="21.9" customHeight="1">
      <c r="A451" s="1136"/>
      <c r="B451" s="1130"/>
      <c r="C451" s="493" t="s">
        <v>3400</v>
      </c>
      <c r="D451" s="493" t="s">
        <v>3401</v>
      </c>
      <c r="E451" s="505">
        <v>10000</v>
      </c>
      <c r="F451" s="505">
        <f t="shared" si="24"/>
        <v>10</v>
      </c>
      <c r="G451" s="505">
        <v>15000</v>
      </c>
      <c r="H451" s="505">
        <f t="shared" si="25"/>
        <v>15</v>
      </c>
      <c r="I451" s="505">
        <v>12094.4</v>
      </c>
      <c r="J451" s="505">
        <f t="shared" si="26"/>
        <v>12.0944</v>
      </c>
      <c r="K451" s="506">
        <f t="shared" si="28"/>
        <v>0.80629333333333331</v>
      </c>
    </row>
    <row r="452" spans="1:11" ht="21.9" customHeight="1">
      <c r="A452" s="1136"/>
      <c r="B452" s="1130"/>
      <c r="C452" s="493" t="s">
        <v>3110</v>
      </c>
      <c r="D452" s="493" t="s">
        <v>3111</v>
      </c>
      <c r="E452" s="505">
        <v>6000</v>
      </c>
      <c r="F452" s="505">
        <f t="shared" si="24"/>
        <v>6</v>
      </c>
      <c r="G452" s="505">
        <v>10000</v>
      </c>
      <c r="H452" s="505">
        <f t="shared" si="25"/>
        <v>10</v>
      </c>
      <c r="I452" s="505">
        <v>5790</v>
      </c>
      <c r="J452" s="505">
        <f t="shared" si="26"/>
        <v>5.79</v>
      </c>
      <c r="K452" s="506">
        <f t="shared" si="28"/>
        <v>0.57899999999999996</v>
      </c>
    </row>
    <row r="453" spans="1:11" ht="21.9" customHeight="1">
      <c r="A453" s="1136" t="s">
        <v>3394</v>
      </c>
      <c r="B453" s="1130" t="s">
        <v>3395</v>
      </c>
      <c r="C453" s="493" t="s">
        <v>3402</v>
      </c>
      <c r="D453" s="493" t="s">
        <v>3403</v>
      </c>
      <c r="E453" s="505">
        <v>15000</v>
      </c>
      <c r="F453" s="505">
        <f t="shared" si="24"/>
        <v>15</v>
      </c>
      <c r="G453" s="505">
        <v>15000</v>
      </c>
      <c r="H453" s="505">
        <f t="shared" si="25"/>
        <v>15</v>
      </c>
      <c r="I453" s="505">
        <v>13050</v>
      </c>
      <c r="J453" s="505">
        <f t="shared" si="26"/>
        <v>13.05</v>
      </c>
      <c r="K453" s="506">
        <f t="shared" si="28"/>
        <v>0.87</v>
      </c>
    </row>
    <row r="454" spans="1:11" ht="21.9" customHeight="1">
      <c r="A454" s="1150"/>
      <c r="B454" s="1151"/>
      <c r="C454" s="493" t="s">
        <v>3145</v>
      </c>
      <c r="D454" s="493" t="s">
        <v>3146</v>
      </c>
      <c r="E454" s="505">
        <v>400000</v>
      </c>
      <c r="F454" s="505">
        <f t="shared" si="24"/>
        <v>400</v>
      </c>
      <c r="G454" s="505">
        <v>501000</v>
      </c>
      <c r="H454" s="505">
        <f t="shared" si="25"/>
        <v>501</v>
      </c>
      <c r="I454" s="505">
        <v>394106.2</v>
      </c>
      <c r="J454" s="505">
        <f t="shared" si="26"/>
        <v>394.1062</v>
      </c>
      <c r="K454" s="506">
        <f t="shared" si="28"/>
        <v>0.78663912175648709</v>
      </c>
    </row>
    <row r="455" spans="1:11" ht="21.9" customHeight="1">
      <c r="A455" s="1150"/>
      <c r="B455" s="1151"/>
      <c r="C455" s="493" t="s">
        <v>3165</v>
      </c>
      <c r="D455" s="493" t="s">
        <v>3166</v>
      </c>
      <c r="E455" s="505">
        <v>4580000</v>
      </c>
      <c r="F455" s="505">
        <f t="shared" ref="F455:F518" si="29">E455/1000</f>
        <v>4580</v>
      </c>
      <c r="G455" s="505">
        <v>5666371</v>
      </c>
      <c r="H455" s="505">
        <f t="shared" ref="H455:H518" si="30">G455/1000</f>
        <v>5666.3710000000001</v>
      </c>
      <c r="I455" s="505">
        <v>5572864.3200000003</v>
      </c>
      <c r="J455" s="505">
        <f t="shared" ref="J455:J518" si="31">I455/1000</f>
        <v>5572.8643200000006</v>
      </c>
      <c r="K455" s="506">
        <f t="shared" si="28"/>
        <v>0.98349796015827418</v>
      </c>
    </row>
    <row r="456" spans="1:11" ht="21.9" customHeight="1">
      <c r="A456" s="1150"/>
      <c r="B456" s="1151"/>
      <c r="C456" s="493" t="s">
        <v>3072</v>
      </c>
      <c r="D456" s="493" t="s">
        <v>3073</v>
      </c>
      <c r="E456" s="505">
        <v>3836000</v>
      </c>
      <c r="F456" s="505">
        <f t="shared" si="29"/>
        <v>3836</v>
      </c>
      <c r="G456" s="505">
        <v>4111744</v>
      </c>
      <c r="H456" s="505">
        <f t="shared" si="30"/>
        <v>4111.7439999999997</v>
      </c>
      <c r="I456" s="505">
        <v>3875648.17</v>
      </c>
      <c r="J456" s="505">
        <f t="shared" si="31"/>
        <v>3875.6481699999999</v>
      </c>
      <c r="K456" s="506">
        <f t="shared" si="28"/>
        <v>0.94258012415169812</v>
      </c>
    </row>
    <row r="457" spans="1:11" ht="21.9" customHeight="1">
      <c r="A457" s="1150"/>
      <c r="B457" s="1151"/>
      <c r="C457" s="493" t="s">
        <v>3387</v>
      </c>
      <c r="D457" s="493" t="s">
        <v>3388</v>
      </c>
      <c r="E457" s="505">
        <v>280000</v>
      </c>
      <c r="F457" s="505">
        <f t="shared" si="29"/>
        <v>280</v>
      </c>
      <c r="G457" s="505">
        <v>293500</v>
      </c>
      <c r="H457" s="505">
        <f t="shared" si="30"/>
        <v>293.5</v>
      </c>
      <c r="I457" s="505">
        <v>281158.08</v>
      </c>
      <c r="J457" s="505">
        <f t="shared" si="31"/>
        <v>281.15808000000004</v>
      </c>
      <c r="K457" s="506">
        <f t="shared" si="28"/>
        <v>0.95794916524701879</v>
      </c>
    </row>
    <row r="458" spans="1:11" ht="21.9" customHeight="1">
      <c r="A458" s="1150"/>
      <c r="B458" s="1151"/>
      <c r="C458" s="493" t="s">
        <v>3392</v>
      </c>
      <c r="D458" s="493" t="s">
        <v>3393</v>
      </c>
      <c r="E458" s="505">
        <v>2600000</v>
      </c>
      <c r="F458" s="505">
        <f t="shared" si="29"/>
        <v>2600</v>
      </c>
      <c r="G458" s="505">
        <v>1737899.59</v>
      </c>
      <c r="H458" s="505">
        <f t="shared" si="30"/>
        <v>1737.89959</v>
      </c>
      <c r="I458" s="505">
        <v>1378758.2</v>
      </c>
      <c r="J458" s="505">
        <f t="shared" si="31"/>
        <v>1378.7582</v>
      </c>
      <c r="K458" s="506">
        <f t="shared" si="28"/>
        <v>0.79334744534924473</v>
      </c>
    </row>
    <row r="459" spans="1:11" ht="21.9" customHeight="1">
      <c r="A459" s="1150"/>
      <c r="B459" s="1151"/>
      <c r="C459" s="493" t="s">
        <v>3404</v>
      </c>
      <c r="D459" s="493" t="s">
        <v>3405</v>
      </c>
      <c r="E459" s="505">
        <v>0</v>
      </c>
      <c r="F459" s="505">
        <f t="shared" si="29"/>
        <v>0</v>
      </c>
      <c r="G459" s="505">
        <v>38000</v>
      </c>
      <c r="H459" s="505">
        <f t="shared" si="30"/>
        <v>38</v>
      </c>
      <c r="I459" s="505">
        <v>18000</v>
      </c>
      <c r="J459" s="505">
        <f t="shared" si="31"/>
        <v>18</v>
      </c>
      <c r="K459" s="506">
        <f t="shared" si="28"/>
        <v>0.47368421052631576</v>
      </c>
    </row>
    <row r="460" spans="1:11" ht="21.9" customHeight="1">
      <c r="A460" s="1150"/>
      <c r="B460" s="1151"/>
      <c r="C460" s="493" t="s">
        <v>3389</v>
      </c>
      <c r="D460" s="493" t="s">
        <v>3390</v>
      </c>
      <c r="E460" s="505">
        <v>3500000</v>
      </c>
      <c r="F460" s="505">
        <f t="shared" si="29"/>
        <v>3500</v>
      </c>
      <c r="G460" s="505">
        <v>2905500</v>
      </c>
      <c r="H460" s="505">
        <f t="shared" si="30"/>
        <v>2905.5</v>
      </c>
      <c r="I460" s="505">
        <v>2618711.46</v>
      </c>
      <c r="J460" s="505">
        <f t="shared" si="31"/>
        <v>2618.71146</v>
      </c>
      <c r="K460" s="506">
        <f t="shared" si="28"/>
        <v>0.90129459989674754</v>
      </c>
    </row>
    <row r="461" spans="1:11" ht="21.9" customHeight="1">
      <c r="A461" s="1150"/>
      <c r="B461" s="1151"/>
      <c r="C461" s="493" t="s">
        <v>3148</v>
      </c>
      <c r="D461" s="493" t="s">
        <v>3149</v>
      </c>
      <c r="E461" s="505">
        <v>1500000</v>
      </c>
      <c r="F461" s="505">
        <f t="shared" si="29"/>
        <v>1500</v>
      </c>
      <c r="G461" s="505">
        <v>1500000</v>
      </c>
      <c r="H461" s="505">
        <f t="shared" si="30"/>
        <v>1500</v>
      </c>
      <c r="I461" s="505">
        <v>1257282.8700000001</v>
      </c>
      <c r="J461" s="505">
        <f t="shared" si="31"/>
        <v>1257.28287</v>
      </c>
      <c r="K461" s="506">
        <f t="shared" si="28"/>
        <v>0.83818858000000007</v>
      </c>
    </row>
    <row r="462" spans="1:11" ht="21.9" customHeight="1">
      <c r="A462" s="1150"/>
      <c r="B462" s="1151"/>
      <c r="C462" s="493" t="s">
        <v>3150</v>
      </c>
      <c r="D462" s="493" t="s">
        <v>3151</v>
      </c>
      <c r="E462" s="505">
        <v>1900000</v>
      </c>
      <c r="F462" s="505">
        <f t="shared" si="29"/>
        <v>1900</v>
      </c>
      <c r="G462" s="505">
        <v>1900000</v>
      </c>
      <c r="H462" s="505">
        <f t="shared" si="30"/>
        <v>1900</v>
      </c>
      <c r="I462" s="505">
        <v>1453284</v>
      </c>
      <c r="J462" s="505">
        <f t="shared" si="31"/>
        <v>1453.2840000000001</v>
      </c>
      <c r="K462" s="506">
        <f t="shared" si="28"/>
        <v>0.76488631578947364</v>
      </c>
    </row>
    <row r="463" spans="1:11" ht="21.9" customHeight="1">
      <c r="A463" s="1150"/>
      <c r="B463" s="1151"/>
      <c r="C463" s="493" t="s">
        <v>3152</v>
      </c>
      <c r="D463" s="493" t="s">
        <v>3153</v>
      </c>
      <c r="E463" s="505">
        <v>2015000</v>
      </c>
      <c r="F463" s="505">
        <f t="shared" si="29"/>
        <v>2015</v>
      </c>
      <c r="G463" s="505">
        <v>2150000</v>
      </c>
      <c r="H463" s="505">
        <f t="shared" si="30"/>
        <v>2150</v>
      </c>
      <c r="I463" s="505">
        <v>2114135.17</v>
      </c>
      <c r="J463" s="505">
        <f t="shared" si="31"/>
        <v>2114.13517</v>
      </c>
      <c r="K463" s="506">
        <f t="shared" si="28"/>
        <v>0.98331868372093023</v>
      </c>
    </row>
    <row r="464" spans="1:11" ht="21.9" customHeight="1">
      <c r="A464" s="1150"/>
      <c r="B464" s="1151"/>
      <c r="C464" s="493" t="s">
        <v>3154</v>
      </c>
      <c r="D464" s="493" t="s">
        <v>3155</v>
      </c>
      <c r="E464" s="505">
        <v>530000</v>
      </c>
      <c r="F464" s="505">
        <f t="shared" si="29"/>
        <v>530</v>
      </c>
      <c r="G464" s="505">
        <v>530000</v>
      </c>
      <c r="H464" s="505">
        <f t="shared" si="30"/>
        <v>530</v>
      </c>
      <c r="I464" s="505">
        <v>249961.7</v>
      </c>
      <c r="J464" s="505">
        <f t="shared" si="31"/>
        <v>249.96170000000001</v>
      </c>
      <c r="K464" s="506">
        <f t="shared" si="28"/>
        <v>0.47162584905660382</v>
      </c>
    </row>
    <row r="465" spans="1:11" ht="21.9" customHeight="1">
      <c r="A465" s="1150"/>
      <c r="B465" s="1151"/>
      <c r="C465" s="493" t="s">
        <v>3156</v>
      </c>
      <c r="D465" s="493" t="s">
        <v>3157</v>
      </c>
      <c r="E465" s="505">
        <v>648000</v>
      </c>
      <c r="F465" s="505">
        <f t="shared" si="29"/>
        <v>648</v>
      </c>
      <c r="G465" s="505">
        <v>680460</v>
      </c>
      <c r="H465" s="505">
        <f t="shared" si="30"/>
        <v>680.46</v>
      </c>
      <c r="I465" s="505">
        <v>571029.4</v>
      </c>
      <c r="J465" s="505">
        <f t="shared" si="31"/>
        <v>571.02940000000001</v>
      </c>
      <c r="K465" s="506">
        <f t="shared" si="28"/>
        <v>0.83918143608735274</v>
      </c>
    </row>
    <row r="466" spans="1:11" ht="21.9" customHeight="1">
      <c r="A466" s="1150"/>
      <c r="B466" s="1151"/>
      <c r="C466" s="493" t="s">
        <v>3092</v>
      </c>
      <c r="D466" s="493" t="s">
        <v>3093</v>
      </c>
      <c r="E466" s="505">
        <v>3335000</v>
      </c>
      <c r="F466" s="505">
        <f t="shared" si="29"/>
        <v>3335</v>
      </c>
      <c r="G466" s="505">
        <v>1060000</v>
      </c>
      <c r="H466" s="505">
        <f t="shared" si="30"/>
        <v>1060</v>
      </c>
      <c r="I466" s="505">
        <v>387530</v>
      </c>
      <c r="J466" s="505">
        <f t="shared" si="31"/>
        <v>387.53</v>
      </c>
      <c r="K466" s="506">
        <f t="shared" si="28"/>
        <v>0.36559433962264148</v>
      </c>
    </row>
    <row r="467" spans="1:11" ht="21.9" customHeight="1">
      <c r="A467" s="1150"/>
      <c r="B467" s="1151"/>
      <c r="C467" s="493" t="s">
        <v>3406</v>
      </c>
      <c r="D467" s="493" t="s">
        <v>3407</v>
      </c>
      <c r="E467" s="505">
        <v>2580000</v>
      </c>
      <c r="F467" s="505">
        <f t="shared" si="29"/>
        <v>2580</v>
      </c>
      <c r="G467" s="505">
        <v>2507640</v>
      </c>
      <c r="H467" s="505">
        <f t="shared" si="30"/>
        <v>2507.64</v>
      </c>
      <c r="I467" s="505">
        <v>2390411.4</v>
      </c>
      <c r="J467" s="505">
        <f t="shared" si="31"/>
        <v>2390.4114</v>
      </c>
      <c r="K467" s="506">
        <f t="shared" si="28"/>
        <v>0.95325142364932758</v>
      </c>
    </row>
    <row r="468" spans="1:11" ht="21.9" customHeight="1">
      <c r="A468" s="1150"/>
      <c r="B468" s="1151"/>
      <c r="C468" s="493" t="s">
        <v>3074</v>
      </c>
      <c r="D468" s="493" t="s">
        <v>3075</v>
      </c>
      <c r="E468" s="505">
        <v>21752880</v>
      </c>
      <c r="F468" s="505">
        <f t="shared" si="29"/>
        <v>21752.880000000001</v>
      </c>
      <c r="G468" s="505">
        <v>18332000</v>
      </c>
      <c r="H468" s="505">
        <f t="shared" si="30"/>
        <v>18332</v>
      </c>
      <c r="I468" s="505">
        <v>17647169.18</v>
      </c>
      <c r="J468" s="505">
        <f t="shared" si="31"/>
        <v>17647.169180000001</v>
      </c>
      <c r="K468" s="506">
        <f t="shared" si="28"/>
        <v>0.96264287475452759</v>
      </c>
    </row>
    <row r="469" spans="1:11" ht="21.9" customHeight="1">
      <c r="A469" s="1150"/>
      <c r="B469" s="1151"/>
      <c r="C469" s="493" t="s">
        <v>3094</v>
      </c>
      <c r="D469" s="493" t="s">
        <v>3095</v>
      </c>
      <c r="E469" s="505">
        <v>2306000</v>
      </c>
      <c r="F469" s="505">
        <f t="shared" si="29"/>
        <v>2306</v>
      </c>
      <c r="G469" s="505">
        <v>2683800</v>
      </c>
      <c r="H469" s="505">
        <f t="shared" si="30"/>
        <v>2683.8</v>
      </c>
      <c r="I469" s="505">
        <v>2492134.2999999998</v>
      </c>
      <c r="J469" s="505">
        <f t="shared" si="31"/>
        <v>2492.1342999999997</v>
      </c>
      <c r="K469" s="506">
        <f t="shared" si="28"/>
        <v>0.92858420895744831</v>
      </c>
    </row>
    <row r="470" spans="1:11" ht="21.9" customHeight="1">
      <c r="A470" s="1150"/>
      <c r="B470" s="1151"/>
      <c r="C470" s="493" t="s">
        <v>3167</v>
      </c>
      <c r="D470" s="493" t="s">
        <v>1481</v>
      </c>
      <c r="E470" s="505">
        <v>692000</v>
      </c>
      <c r="F470" s="505">
        <f t="shared" si="29"/>
        <v>692</v>
      </c>
      <c r="G470" s="505">
        <v>727000</v>
      </c>
      <c r="H470" s="505">
        <f t="shared" si="30"/>
        <v>727</v>
      </c>
      <c r="I470" s="505">
        <v>726969.31</v>
      </c>
      <c r="J470" s="505">
        <f t="shared" si="31"/>
        <v>726.96931000000006</v>
      </c>
      <c r="K470" s="506">
        <f t="shared" si="28"/>
        <v>0.9999577854195324</v>
      </c>
    </row>
    <row r="471" spans="1:11" ht="21.9" customHeight="1">
      <c r="A471" s="1150"/>
      <c r="B471" s="1151"/>
      <c r="C471" s="493" t="s">
        <v>3137</v>
      </c>
      <c r="D471" s="493" t="s">
        <v>3138</v>
      </c>
      <c r="E471" s="505">
        <v>2300000</v>
      </c>
      <c r="F471" s="505">
        <f t="shared" si="29"/>
        <v>2300</v>
      </c>
      <c r="G471" s="505">
        <v>2176000</v>
      </c>
      <c r="H471" s="505">
        <f t="shared" si="30"/>
        <v>2176</v>
      </c>
      <c r="I471" s="505">
        <v>2173604.36</v>
      </c>
      <c r="J471" s="505">
        <f t="shared" si="31"/>
        <v>2173.6043599999998</v>
      </c>
      <c r="K471" s="506">
        <f t="shared" si="28"/>
        <v>0.99889906249999993</v>
      </c>
    </row>
    <row r="472" spans="1:11" ht="21.9" customHeight="1">
      <c r="A472" s="1150"/>
      <c r="B472" s="1151"/>
      <c r="C472" s="493" t="s">
        <v>3076</v>
      </c>
      <c r="D472" s="493" t="s">
        <v>3077</v>
      </c>
      <c r="E472" s="505">
        <v>254000</v>
      </c>
      <c r="F472" s="505">
        <f t="shared" si="29"/>
        <v>254</v>
      </c>
      <c r="G472" s="505">
        <v>345200</v>
      </c>
      <c r="H472" s="505">
        <f t="shared" si="30"/>
        <v>345.2</v>
      </c>
      <c r="I472" s="505">
        <v>272599</v>
      </c>
      <c r="J472" s="505">
        <f t="shared" si="31"/>
        <v>272.59899999999999</v>
      </c>
      <c r="K472" s="506">
        <f t="shared" si="28"/>
        <v>0.7896842410196987</v>
      </c>
    </row>
    <row r="473" spans="1:11" ht="21.9" customHeight="1">
      <c r="A473" s="1150"/>
      <c r="B473" s="1151"/>
      <c r="C473" s="493" t="s">
        <v>3408</v>
      </c>
      <c r="D473" s="493" t="s">
        <v>3409</v>
      </c>
      <c r="E473" s="505">
        <v>130000</v>
      </c>
      <c r="F473" s="505">
        <f t="shared" si="29"/>
        <v>130</v>
      </c>
      <c r="G473" s="505">
        <v>130000</v>
      </c>
      <c r="H473" s="505">
        <f t="shared" si="30"/>
        <v>130</v>
      </c>
      <c r="I473" s="505">
        <v>97836</v>
      </c>
      <c r="J473" s="505">
        <f t="shared" si="31"/>
        <v>97.835999999999999</v>
      </c>
      <c r="K473" s="506">
        <f t="shared" si="28"/>
        <v>0.75258461538461541</v>
      </c>
    </row>
    <row r="474" spans="1:11" ht="21.9" customHeight="1">
      <c r="A474" s="1150"/>
      <c r="B474" s="1151"/>
      <c r="C474" s="493" t="s">
        <v>3139</v>
      </c>
      <c r="D474" s="493" t="s">
        <v>3140</v>
      </c>
      <c r="E474" s="505">
        <v>1194000</v>
      </c>
      <c r="F474" s="505">
        <f t="shared" si="29"/>
        <v>1194</v>
      </c>
      <c r="G474" s="505">
        <v>1254000</v>
      </c>
      <c r="H474" s="505">
        <f t="shared" si="30"/>
        <v>1254</v>
      </c>
      <c r="I474" s="505">
        <v>1250410.6299999999</v>
      </c>
      <c r="J474" s="505">
        <f t="shared" si="31"/>
        <v>1250.4106299999999</v>
      </c>
      <c r="K474" s="506">
        <f t="shared" si="28"/>
        <v>0.99713766347687394</v>
      </c>
    </row>
    <row r="475" spans="1:11" ht="21.9" customHeight="1">
      <c r="A475" s="1150"/>
      <c r="B475" s="1151"/>
      <c r="C475" s="493" t="s">
        <v>3410</v>
      </c>
      <c r="D475" s="493" t="s">
        <v>3411</v>
      </c>
      <c r="E475" s="505">
        <v>0</v>
      </c>
      <c r="F475" s="505">
        <f t="shared" si="29"/>
        <v>0</v>
      </c>
      <c r="G475" s="505">
        <v>0</v>
      </c>
      <c r="H475" s="505">
        <f t="shared" si="30"/>
        <v>0</v>
      </c>
      <c r="I475" s="505">
        <v>94432.099999999977</v>
      </c>
      <c r="J475" s="505">
        <f t="shared" si="31"/>
        <v>94.432099999999977</v>
      </c>
      <c r="K475" s="510" t="s">
        <v>1147</v>
      </c>
    </row>
    <row r="476" spans="1:11" ht="21.9" customHeight="1">
      <c r="A476" s="1150"/>
      <c r="B476" s="1151"/>
      <c r="C476" s="493" t="s">
        <v>3412</v>
      </c>
      <c r="D476" s="493" t="s">
        <v>3413</v>
      </c>
      <c r="E476" s="505">
        <v>350000</v>
      </c>
      <c r="F476" s="505">
        <f t="shared" si="29"/>
        <v>350</v>
      </c>
      <c r="G476" s="505">
        <v>400000</v>
      </c>
      <c r="H476" s="505">
        <f t="shared" si="30"/>
        <v>400</v>
      </c>
      <c r="I476" s="505">
        <v>394331</v>
      </c>
      <c r="J476" s="505">
        <f t="shared" si="31"/>
        <v>394.33100000000002</v>
      </c>
      <c r="K476" s="506">
        <f t="shared" ref="K476:K539" si="32">I476/G476</f>
        <v>0.98582749999999997</v>
      </c>
    </row>
    <row r="477" spans="1:11" ht="21.9" customHeight="1">
      <c r="A477" s="1150"/>
      <c r="B477" s="1151"/>
      <c r="C477" s="493" t="s">
        <v>3116</v>
      </c>
      <c r="D477" s="493" t="s">
        <v>3117</v>
      </c>
      <c r="E477" s="505">
        <v>134000</v>
      </c>
      <c r="F477" s="505">
        <f t="shared" si="29"/>
        <v>134</v>
      </c>
      <c r="G477" s="505">
        <v>134000</v>
      </c>
      <c r="H477" s="505">
        <f t="shared" si="30"/>
        <v>134</v>
      </c>
      <c r="I477" s="505">
        <v>61572</v>
      </c>
      <c r="J477" s="505">
        <f t="shared" si="31"/>
        <v>61.572000000000003</v>
      </c>
      <c r="K477" s="506">
        <f t="shared" si="32"/>
        <v>0.45949253731343281</v>
      </c>
    </row>
    <row r="478" spans="1:11" ht="21.9" customHeight="1">
      <c r="A478" s="1150"/>
      <c r="B478" s="1151"/>
      <c r="C478" s="493" t="s">
        <v>3414</v>
      </c>
      <c r="D478" s="493" t="s">
        <v>3415</v>
      </c>
      <c r="E478" s="505">
        <v>800000</v>
      </c>
      <c r="F478" s="505">
        <f t="shared" si="29"/>
        <v>800</v>
      </c>
      <c r="G478" s="505">
        <v>800000</v>
      </c>
      <c r="H478" s="505">
        <f t="shared" si="30"/>
        <v>800</v>
      </c>
      <c r="I478" s="505">
        <v>168858</v>
      </c>
      <c r="J478" s="505">
        <f t="shared" si="31"/>
        <v>168.858</v>
      </c>
      <c r="K478" s="506">
        <f t="shared" si="32"/>
        <v>0.2110725</v>
      </c>
    </row>
    <row r="479" spans="1:11" ht="21.9" customHeight="1">
      <c r="A479" s="1150"/>
      <c r="B479" s="1151"/>
      <c r="C479" s="493" t="s">
        <v>3416</v>
      </c>
      <c r="D479" s="493" t="s">
        <v>3417</v>
      </c>
      <c r="E479" s="505">
        <v>220000</v>
      </c>
      <c r="F479" s="505">
        <f t="shared" si="29"/>
        <v>220</v>
      </c>
      <c r="G479" s="505">
        <v>147000</v>
      </c>
      <c r="H479" s="505">
        <f t="shared" si="30"/>
        <v>147</v>
      </c>
      <c r="I479" s="505">
        <v>1504</v>
      </c>
      <c r="J479" s="505">
        <f t="shared" si="31"/>
        <v>1.504</v>
      </c>
      <c r="K479" s="506">
        <f t="shared" si="32"/>
        <v>1.0231292517006803E-2</v>
      </c>
    </row>
    <row r="480" spans="1:11" ht="21.9" customHeight="1">
      <c r="A480" s="1150"/>
      <c r="B480" s="1151"/>
      <c r="C480" s="493" t="s">
        <v>3162</v>
      </c>
      <c r="D480" s="493" t="s">
        <v>1486</v>
      </c>
      <c r="E480" s="505">
        <v>30000</v>
      </c>
      <c r="F480" s="505">
        <f t="shared" si="29"/>
        <v>30</v>
      </c>
      <c r="G480" s="505">
        <v>63000</v>
      </c>
      <c r="H480" s="505">
        <f t="shared" si="30"/>
        <v>63</v>
      </c>
      <c r="I480" s="505">
        <v>62771.770000000004</v>
      </c>
      <c r="J480" s="505">
        <f t="shared" si="31"/>
        <v>62.771770000000004</v>
      </c>
      <c r="K480" s="506">
        <f t="shared" si="32"/>
        <v>0.99637730158730164</v>
      </c>
    </row>
    <row r="481" spans="1:11" ht="21.9" customHeight="1">
      <c r="A481" s="1150"/>
      <c r="B481" s="1151"/>
      <c r="C481" s="493" t="s">
        <v>3418</v>
      </c>
      <c r="D481" s="493" t="s">
        <v>3419</v>
      </c>
      <c r="E481" s="505">
        <v>390000</v>
      </c>
      <c r="F481" s="505">
        <f t="shared" si="29"/>
        <v>390</v>
      </c>
      <c r="G481" s="505">
        <v>375000</v>
      </c>
      <c r="H481" s="505">
        <f t="shared" si="30"/>
        <v>375</v>
      </c>
      <c r="I481" s="505">
        <v>84300</v>
      </c>
      <c r="J481" s="505">
        <f t="shared" si="31"/>
        <v>84.3</v>
      </c>
      <c r="K481" s="506">
        <f t="shared" si="32"/>
        <v>0.2248</v>
      </c>
    </row>
    <row r="482" spans="1:11" ht="21.9" customHeight="1">
      <c r="A482" s="1150"/>
      <c r="B482" s="1151"/>
      <c r="C482" s="493" t="s">
        <v>3086</v>
      </c>
      <c r="D482" s="493" t="s">
        <v>3087</v>
      </c>
      <c r="E482" s="505">
        <v>60000</v>
      </c>
      <c r="F482" s="505">
        <f t="shared" si="29"/>
        <v>60</v>
      </c>
      <c r="G482" s="505">
        <v>75000</v>
      </c>
      <c r="H482" s="505">
        <f t="shared" si="30"/>
        <v>75</v>
      </c>
      <c r="I482" s="505">
        <v>64616</v>
      </c>
      <c r="J482" s="505">
        <f t="shared" si="31"/>
        <v>64.616</v>
      </c>
      <c r="K482" s="506">
        <f t="shared" si="32"/>
        <v>0.86154666666666668</v>
      </c>
    </row>
    <row r="483" spans="1:11" ht="21.9" customHeight="1">
      <c r="A483" s="1150"/>
      <c r="B483" s="1151"/>
      <c r="C483" s="493" t="s">
        <v>3420</v>
      </c>
      <c r="D483" s="493" t="s">
        <v>1487</v>
      </c>
      <c r="E483" s="505">
        <v>700000</v>
      </c>
      <c r="F483" s="505">
        <f t="shared" si="29"/>
        <v>700</v>
      </c>
      <c r="G483" s="505">
        <v>700000</v>
      </c>
      <c r="H483" s="505">
        <f t="shared" si="30"/>
        <v>700</v>
      </c>
      <c r="I483" s="505">
        <v>614436</v>
      </c>
      <c r="J483" s="505">
        <f t="shared" si="31"/>
        <v>614.43600000000004</v>
      </c>
      <c r="K483" s="506">
        <f t="shared" si="32"/>
        <v>0.87776571428571426</v>
      </c>
    </row>
    <row r="484" spans="1:11" ht="21.9" customHeight="1">
      <c r="A484" s="1150"/>
      <c r="B484" s="1151"/>
      <c r="C484" s="493" t="s">
        <v>3158</v>
      </c>
      <c r="D484" s="493" t="s">
        <v>1497</v>
      </c>
      <c r="E484" s="505">
        <v>0</v>
      </c>
      <c r="F484" s="505">
        <f t="shared" si="29"/>
        <v>0</v>
      </c>
      <c r="G484" s="505">
        <v>5286880</v>
      </c>
      <c r="H484" s="505">
        <f t="shared" si="30"/>
        <v>5286.88</v>
      </c>
      <c r="I484" s="505">
        <v>4413771.4000000004</v>
      </c>
      <c r="J484" s="505">
        <f t="shared" si="31"/>
        <v>4413.7714000000005</v>
      </c>
      <c r="K484" s="506">
        <f t="shared" si="32"/>
        <v>0.83485371334321956</v>
      </c>
    </row>
    <row r="485" spans="1:11" ht="21.9" customHeight="1">
      <c r="A485" s="1150"/>
      <c r="B485" s="1151"/>
      <c r="C485" s="493" t="s">
        <v>3189</v>
      </c>
      <c r="D485" s="493" t="s">
        <v>3190</v>
      </c>
      <c r="E485" s="505">
        <v>0</v>
      </c>
      <c r="F485" s="505">
        <f t="shared" si="29"/>
        <v>0</v>
      </c>
      <c r="G485" s="505">
        <v>16600.41</v>
      </c>
      <c r="H485" s="505">
        <f t="shared" si="30"/>
        <v>16.60041</v>
      </c>
      <c r="I485" s="505">
        <v>16600.41</v>
      </c>
      <c r="J485" s="505">
        <f t="shared" si="31"/>
        <v>16.60041</v>
      </c>
      <c r="K485" s="506">
        <f t="shared" si="32"/>
        <v>1</v>
      </c>
    </row>
    <row r="486" spans="1:11" ht="21.9" customHeight="1">
      <c r="A486" s="1150"/>
      <c r="B486" s="1151"/>
      <c r="C486" s="493" t="s">
        <v>3168</v>
      </c>
      <c r="D486" s="493" t="s">
        <v>1481</v>
      </c>
      <c r="E486" s="505">
        <v>1290000</v>
      </c>
      <c r="F486" s="505">
        <f t="shared" si="29"/>
        <v>1290</v>
      </c>
      <c r="G486" s="505">
        <v>1965275</v>
      </c>
      <c r="H486" s="505">
        <f t="shared" si="30"/>
        <v>1965.2750000000001</v>
      </c>
      <c r="I486" s="505">
        <v>1965275</v>
      </c>
      <c r="J486" s="505">
        <f t="shared" si="31"/>
        <v>1965.2750000000001</v>
      </c>
      <c r="K486" s="506">
        <f t="shared" si="32"/>
        <v>1</v>
      </c>
    </row>
    <row r="487" spans="1:11" ht="21.9" customHeight="1">
      <c r="A487" s="1150"/>
      <c r="B487" s="1151"/>
      <c r="C487" s="493" t="s">
        <v>3191</v>
      </c>
      <c r="D487" s="493" t="s">
        <v>3192</v>
      </c>
      <c r="E487" s="505">
        <v>150000</v>
      </c>
      <c r="F487" s="505">
        <f t="shared" si="29"/>
        <v>150</v>
      </c>
      <c r="G487" s="505">
        <v>25000</v>
      </c>
      <c r="H487" s="505">
        <f t="shared" si="30"/>
        <v>25</v>
      </c>
      <c r="I487" s="505">
        <v>0</v>
      </c>
      <c r="J487" s="505">
        <f t="shared" si="31"/>
        <v>0</v>
      </c>
      <c r="K487" s="506">
        <f t="shared" si="32"/>
        <v>0</v>
      </c>
    </row>
    <row r="488" spans="1:11" ht="21.9" customHeight="1">
      <c r="A488" s="1150"/>
      <c r="B488" s="1151"/>
      <c r="C488" s="493" t="s">
        <v>3102</v>
      </c>
      <c r="D488" s="493" t="s">
        <v>1485</v>
      </c>
      <c r="E488" s="505">
        <v>1400000</v>
      </c>
      <c r="F488" s="505">
        <f t="shared" si="29"/>
        <v>1400</v>
      </c>
      <c r="G488" s="505">
        <v>900000</v>
      </c>
      <c r="H488" s="505">
        <f t="shared" si="30"/>
        <v>900</v>
      </c>
      <c r="I488" s="505">
        <v>721325.8</v>
      </c>
      <c r="J488" s="505">
        <f t="shared" si="31"/>
        <v>721.32580000000007</v>
      </c>
      <c r="K488" s="506">
        <f t="shared" si="32"/>
        <v>0.80147311111111119</v>
      </c>
    </row>
    <row r="489" spans="1:11" ht="21.9" customHeight="1">
      <c r="A489" s="1150"/>
      <c r="B489" s="1151"/>
      <c r="C489" s="493" t="s">
        <v>3169</v>
      </c>
      <c r="D489" s="493" t="s">
        <v>1482</v>
      </c>
      <c r="E489" s="505">
        <v>1820000</v>
      </c>
      <c r="F489" s="505">
        <f t="shared" si="29"/>
        <v>1820</v>
      </c>
      <c r="G489" s="505">
        <v>2842610</v>
      </c>
      <c r="H489" s="505">
        <f t="shared" si="30"/>
        <v>2842.61</v>
      </c>
      <c r="I489" s="505">
        <v>2641494</v>
      </c>
      <c r="J489" s="505">
        <f t="shared" si="31"/>
        <v>2641.4940000000001</v>
      </c>
      <c r="K489" s="506">
        <f t="shared" si="32"/>
        <v>0.92924952772276181</v>
      </c>
    </row>
    <row r="490" spans="1:11" ht="21.9" customHeight="1">
      <c r="A490" s="1150"/>
      <c r="B490" s="1151"/>
      <c r="C490" s="493" t="s">
        <v>3421</v>
      </c>
      <c r="D490" s="493" t="s">
        <v>1478</v>
      </c>
      <c r="E490" s="505">
        <v>900000</v>
      </c>
      <c r="F490" s="505">
        <f t="shared" si="29"/>
        <v>900</v>
      </c>
      <c r="G490" s="505">
        <v>1530000</v>
      </c>
      <c r="H490" s="505">
        <f t="shared" si="30"/>
        <v>1530</v>
      </c>
      <c r="I490" s="505">
        <v>1462700</v>
      </c>
      <c r="J490" s="505">
        <f t="shared" si="31"/>
        <v>1462.7</v>
      </c>
      <c r="K490" s="506">
        <f t="shared" si="32"/>
        <v>0.95601307189542484</v>
      </c>
    </row>
    <row r="491" spans="1:11" ht="21.9" customHeight="1">
      <c r="A491" s="1150"/>
      <c r="B491" s="1151"/>
      <c r="C491" s="493" t="s">
        <v>3193</v>
      </c>
      <c r="D491" s="493" t="s">
        <v>1483</v>
      </c>
      <c r="E491" s="505">
        <v>690000</v>
      </c>
      <c r="F491" s="505">
        <f t="shared" si="29"/>
        <v>690</v>
      </c>
      <c r="G491" s="505">
        <v>290000</v>
      </c>
      <c r="H491" s="505">
        <f t="shared" si="30"/>
        <v>290</v>
      </c>
      <c r="I491" s="505">
        <v>290000</v>
      </c>
      <c r="J491" s="505">
        <f t="shared" si="31"/>
        <v>290</v>
      </c>
      <c r="K491" s="506">
        <f t="shared" si="32"/>
        <v>1</v>
      </c>
    </row>
    <row r="492" spans="1:11" ht="21.9" customHeight="1">
      <c r="A492" s="1136" t="s">
        <v>3259</v>
      </c>
      <c r="B492" s="1130" t="s">
        <v>3260</v>
      </c>
      <c r="C492" s="493" t="s">
        <v>3132</v>
      </c>
      <c r="D492" s="493" t="s">
        <v>1470</v>
      </c>
      <c r="E492" s="505">
        <v>0</v>
      </c>
      <c r="F492" s="505">
        <f t="shared" si="29"/>
        <v>0</v>
      </c>
      <c r="G492" s="505">
        <v>704223</v>
      </c>
      <c r="H492" s="505">
        <f t="shared" si="30"/>
        <v>704.22299999999996</v>
      </c>
      <c r="I492" s="505">
        <v>560748</v>
      </c>
      <c r="J492" s="505">
        <f t="shared" si="31"/>
        <v>560.74800000000005</v>
      </c>
      <c r="K492" s="506">
        <f t="shared" si="32"/>
        <v>0.79626481952449724</v>
      </c>
    </row>
    <row r="493" spans="1:11" ht="21.9" customHeight="1">
      <c r="A493" s="1136"/>
      <c r="B493" s="1130"/>
      <c r="C493" s="493" t="s">
        <v>3133</v>
      </c>
      <c r="D493" s="493" t="s">
        <v>3134</v>
      </c>
      <c r="E493" s="505">
        <v>0</v>
      </c>
      <c r="F493" s="505">
        <f t="shared" si="29"/>
        <v>0</v>
      </c>
      <c r="G493" s="505">
        <v>176058</v>
      </c>
      <c r="H493" s="505">
        <f t="shared" si="30"/>
        <v>176.05799999999999</v>
      </c>
      <c r="I493" s="505">
        <v>140192</v>
      </c>
      <c r="J493" s="505">
        <f t="shared" si="31"/>
        <v>140.19200000000001</v>
      </c>
      <c r="K493" s="506">
        <f t="shared" si="32"/>
        <v>0.79628304308807329</v>
      </c>
    </row>
    <row r="494" spans="1:11" ht="21.9" customHeight="1">
      <c r="A494" s="1136"/>
      <c r="B494" s="1130"/>
      <c r="C494" s="493" t="s">
        <v>3135</v>
      </c>
      <c r="D494" s="493" t="s">
        <v>3136</v>
      </c>
      <c r="E494" s="505">
        <v>0</v>
      </c>
      <c r="F494" s="505">
        <f t="shared" si="29"/>
        <v>0</v>
      </c>
      <c r="G494" s="505">
        <v>63380</v>
      </c>
      <c r="H494" s="505">
        <f t="shared" si="30"/>
        <v>63.38</v>
      </c>
      <c r="I494" s="505">
        <v>50467</v>
      </c>
      <c r="J494" s="505">
        <f t="shared" si="31"/>
        <v>50.466999999999999</v>
      </c>
      <c r="K494" s="506">
        <f t="shared" si="32"/>
        <v>0.7962606500473336</v>
      </c>
    </row>
    <row r="495" spans="1:11" ht="21.9" customHeight="1">
      <c r="A495" s="1136"/>
      <c r="B495" s="1130"/>
      <c r="C495" s="493" t="s">
        <v>3072</v>
      </c>
      <c r="D495" s="493" t="s">
        <v>3073</v>
      </c>
      <c r="E495" s="505">
        <v>0</v>
      </c>
      <c r="F495" s="505">
        <f t="shared" si="29"/>
        <v>0</v>
      </c>
      <c r="G495" s="505">
        <v>104</v>
      </c>
      <c r="H495" s="505">
        <f t="shared" si="30"/>
        <v>0.104</v>
      </c>
      <c r="I495" s="505">
        <v>104</v>
      </c>
      <c r="J495" s="505">
        <f t="shared" si="31"/>
        <v>0.104</v>
      </c>
      <c r="K495" s="506">
        <f t="shared" si="32"/>
        <v>1</v>
      </c>
    </row>
    <row r="496" spans="1:11" ht="21.9" customHeight="1">
      <c r="A496" s="1136"/>
      <c r="B496" s="1130"/>
      <c r="C496" s="493" t="s">
        <v>3150</v>
      </c>
      <c r="D496" s="493" t="s">
        <v>3151</v>
      </c>
      <c r="E496" s="505">
        <v>0</v>
      </c>
      <c r="F496" s="505">
        <f t="shared" si="29"/>
        <v>0</v>
      </c>
      <c r="G496" s="505">
        <v>190</v>
      </c>
      <c r="H496" s="505">
        <f t="shared" si="30"/>
        <v>0.19</v>
      </c>
      <c r="I496" s="505">
        <v>190</v>
      </c>
      <c r="J496" s="505">
        <f t="shared" si="31"/>
        <v>0.19</v>
      </c>
      <c r="K496" s="506">
        <f t="shared" si="32"/>
        <v>1</v>
      </c>
    </row>
    <row r="497" spans="1:11" ht="21.9" customHeight="1">
      <c r="A497" s="1136"/>
      <c r="B497" s="1130"/>
      <c r="C497" s="493" t="s">
        <v>3154</v>
      </c>
      <c r="D497" s="493" t="s">
        <v>3155</v>
      </c>
      <c r="E497" s="505">
        <v>0</v>
      </c>
      <c r="F497" s="505">
        <f t="shared" si="29"/>
        <v>0</v>
      </c>
      <c r="G497" s="505">
        <v>73</v>
      </c>
      <c r="H497" s="505">
        <f t="shared" si="30"/>
        <v>7.2999999999999995E-2</v>
      </c>
      <c r="I497" s="505">
        <v>73</v>
      </c>
      <c r="J497" s="505">
        <f t="shared" si="31"/>
        <v>7.2999999999999995E-2</v>
      </c>
      <c r="K497" s="506">
        <f t="shared" si="32"/>
        <v>1</v>
      </c>
    </row>
    <row r="498" spans="1:11" ht="21.9" customHeight="1">
      <c r="A498" s="1136" t="s">
        <v>3259</v>
      </c>
      <c r="B498" s="1130" t="s">
        <v>3260</v>
      </c>
      <c r="C498" s="493" t="s">
        <v>3074</v>
      </c>
      <c r="D498" s="493" t="s">
        <v>3075</v>
      </c>
      <c r="E498" s="505">
        <v>0</v>
      </c>
      <c r="F498" s="505">
        <f t="shared" si="29"/>
        <v>0</v>
      </c>
      <c r="G498" s="505">
        <v>2864250</v>
      </c>
      <c r="H498" s="505">
        <f t="shared" si="30"/>
        <v>2864.25</v>
      </c>
      <c r="I498" s="505">
        <v>2863793.1</v>
      </c>
      <c r="J498" s="505">
        <f t="shared" si="31"/>
        <v>2863.7930999999999</v>
      </c>
      <c r="K498" s="506">
        <f t="shared" si="32"/>
        <v>0.99984048180151874</v>
      </c>
    </row>
    <row r="499" spans="1:11" ht="21.9" customHeight="1">
      <c r="A499" s="1136"/>
      <c r="B499" s="1130"/>
      <c r="C499" s="493" t="s">
        <v>3076</v>
      </c>
      <c r="D499" s="493" t="s">
        <v>3077</v>
      </c>
      <c r="E499" s="505">
        <v>0</v>
      </c>
      <c r="F499" s="505">
        <f t="shared" si="29"/>
        <v>0</v>
      </c>
      <c r="G499" s="505">
        <v>1085</v>
      </c>
      <c r="H499" s="505">
        <f t="shared" si="30"/>
        <v>1.085</v>
      </c>
      <c r="I499" s="505">
        <v>1085</v>
      </c>
      <c r="J499" s="505">
        <f t="shared" si="31"/>
        <v>1.085</v>
      </c>
      <c r="K499" s="506">
        <f t="shared" si="32"/>
        <v>1</v>
      </c>
    </row>
    <row r="500" spans="1:11" ht="21.9" customHeight="1">
      <c r="A500" s="1136"/>
      <c r="B500" s="1130"/>
      <c r="C500" s="493" t="s">
        <v>3139</v>
      </c>
      <c r="D500" s="493" t="s">
        <v>3140</v>
      </c>
      <c r="E500" s="505">
        <v>0</v>
      </c>
      <c r="F500" s="505">
        <f t="shared" si="29"/>
        <v>0</v>
      </c>
      <c r="G500" s="505">
        <v>3171517.3</v>
      </c>
      <c r="H500" s="505">
        <f t="shared" si="30"/>
        <v>3171.5173</v>
      </c>
      <c r="I500" s="505">
        <v>0</v>
      </c>
      <c r="J500" s="505">
        <f t="shared" si="31"/>
        <v>0</v>
      </c>
      <c r="K500" s="506">
        <f t="shared" si="32"/>
        <v>0</v>
      </c>
    </row>
    <row r="501" spans="1:11" ht="21.9" customHeight="1">
      <c r="A501" s="1136"/>
      <c r="B501" s="1130"/>
      <c r="C501" s="493" t="s">
        <v>3191</v>
      </c>
      <c r="D501" s="493" t="s">
        <v>3192</v>
      </c>
      <c r="E501" s="505">
        <v>0</v>
      </c>
      <c r="F501" s="505">
        <f t="shared" si="29"/>
        <v>0</v>
      </c>
      <c r="G501" s="505">
        <v>1620000</v>
      </c>
      <c r="H501" s="505">
        <f t="shared" si="30"/>
        <v>1620</v>
      </c>
      <c r="I501" s="505">
        <v>1134000</v>
      </c>
      <c r="J501" s="505">
        <f t="shared" si="31"/>
        <v>1134</v>
      </c>
      <c r="K501" s="506">
        <f t="shared" si="32"/>
        <v>0.7</v>
      </c>
    </row>
    <row r="502" spans="1:11" ht="21.9" customHeight="1">
      <c r="A502" s="1136"/>
      <c r="B502" s="1130"/>
      <c r="C502" s="493" t="s">
        <v>3193</v>
      </c>
      <c r="D502" s="493" t="s">
        <v>1483</v>
      </c>
      <c r="E502" s="505">
        <v>0</v>
      </c>
      <c r="F502" s="505">
        <f t="shared" si="29"/>
        <v>0</v>
      </c>
      <c r="G502" s="505">
        <v>1519000</v>
      </c>
      <c r="H502" s="505">
        <f t="shared" si="30"/>
        <v>1519</v>
      </c>
      <c r="I502" s="505">
        <v>1519000</v>
      </c>
      <c r="J502" s="505">
        <f t="shared" si="31"/>
        <v>1519</v>
      </c>
      <c r="K502" s="506">
        <f t="shared" si="32"/>
        <v>1</v>
      </c>
    </row>
    <row r="503" spans="1:11" ht="21.9" customHeight="1">
      <c r="A503" s="1137" t="s">
        <v>3422</v>
      </c>
      <c r="B503" s="1138"/>
      <c r="C503" s="1138"/>
      <c r="D503" s="1138"/>
      <c r="E503" s="507">
        <v>243968000</v>
      </c>
      <c r="F503" s="507">
        <f t="shared" si="29"/>
        <v>243968</v>
      </c>
      <c r="G503" s="507">
        <v>262824711.30000001</v>
      </c>
      <c r="H503" s="507">
        <f t="shared" si="30"/>
        <v>262824.71130000002</v>
      </c>
      <c r="I503" s="507">
        <v>249164503.96000001</v>
      </c>
      <c r="J503" s="507">
        <f t="shared" si="31"/>
        <v>249164.50396</v>
      </c>
      <c r="K503" s="508">
        <f t="shared" si="32"/>
        <v>0.94802540722889783</v>
      </c>
    </row>
    <row r="504" spans="1:11" ht="21.9" customHeight="1">
      <c r="A504" s="1145" t="s">
        <v>1489</v>
      </c>
      <c r="B504" s="1146"/>
      <c r="C504" s="1146"/>
      <c r="D504" s="1146"/>
      <c r="E504" s="1146"/>
      <c r="F504" s="1146"/>
      <c r="G504" s="1146"/>
      <c r="H504" s="1146"/>
      <c r="I504" s="1146"/>
      <c r="J504" s="1146"/>
      <c r="K504" s="1147"/>
    </row>
    <row r="505" spans="1:11" ht="21.9" customHeight="1">
      <c r="A505" s="509" t="s">
        <v>1156</v>
      </c>
      <c r="B505" s="493" t="s">
        <v>3181</v>
      </c>
      <c r="C505" s="493" t="s">
        <v>3124</v>
      </c>
      <c r="D505" s="493" t="s">
        <v>3125</v>
      </c>
      <c r="E505" s="505">
        <v>0</v>
      </c>
      <c r="F505" s="505">
        <f t="shared" si="29"/>
        <v>0</v>
      </c>
      <c r="G505" s="505">
        <v>28000</v>
      </c>
      <c r="H505" s="505">
        <f t="shared" si="30"/>
        <v>28</v>
      </c>
      <c r="I505" s="505">
        <v>28000</v>
      </c>
      <c r="J505" s="505">
        <f t="shared" si="31"/>
        <v>28</v>
      </c>
      <c r="K505" s="506">
        <f t="shared" si="32"/>
        <v>1</v>
      </c>
    </row>
    <row r="506" spans="1:11" ht="21.9" customHeight="1">
      <c r="A506" s="509" t="s">
        <v>3243</v>
      </c>
      <c r="B506" s="493" t="s">
        <v>3244</v>
      </c>
      <c r="C506" s="493" t="s">
        <v>3096</v>
      </c>
      <c r="D506" s="493" t="s">
        <v>3097</v>
      </c>
      <c r="E506" s="505">
        <v>0</v>
      </c>
      <c r="F506" s="505">
        <f t="shared" si="29"/>
        <v>0</v>
      </c>
      <c r="G506" s="505">
        <v>50000</v>
      </c>
      <c r="H506" s="505">
        <f t="shared" si="30"/>
        <v>50</v>
      </c>
      <c r="I506" s="505">
        <v>50000</v>
      </c>
      <c r="J506" s="505">
        <f t="shared" si="31"/>
        <v>50</v>
      </c>
      <c r="K506" s="506">
        <f t="shared" si="32"/>
        <v>1</v>
      </c>
    </row>
    <row r="507" spans="1:11" ht="21.9" customHeight="1">
      <c r="A507" s="509" t="s">
        <v>3423</v>
      </c>
      <c r="B507" s="493" t="s">
        <v>3424</v>
      </c>
      <c r="C507" s="493" t="s">
        <v>3425</v>
      </c>
      <c r="D507" s="493" t="s">
        <v>3426</v>
      </c>
      <c r="E507" s="505">
        <v>200000</v>
      </c>
      <c r="F507" s="505">
        <f t="shared" si="29"/>
        <v>200</v>
      </c>
      <c r="G507" s="505">
        <v>200000</v>
      </c>
      <c r="H507" s="505">
        <f t="shared" si="30"/>
        <v>200</v>
      </c>
      <c r="I507" s="505">
        <v>80000</v>
      </c>
      <c r="J507" s="505">
        <f t="shared" si="31"/>
        <v>80</v>
      </c>
      <c r="K507" s="506">
        <f t="shared" si="32"/>
        <v>0.4</v>
      </c>
    </row>
    <row r="508" spans="1:11" ht="21.9" customHeight="1">
      <c r="A508" s="509" t="s">
        <v>3208</v>
      </c>
      <c r="B508" s="493" t="s">
        <v>3209</v>
      </c>
      <c r="C508" s="493" t="s">
        <v>3124</v>
      </c>
      <c r="D508" s="493" t="s">
        <v>3125</v>
      </c>
      <c r="E508" s="505">
        <v>0</v>
      </c>
      <c r="F508" s="505">
        <f t="shared" si="29"/>
        <v>0</v>
      </c>
      <c r="G508" s="505">
        <v>15000</v>
      </c>
      <c r="H508" s="505">
        <f t="shared" si="30"/>
        <v>15</v>
      </c>
      <c r="I508" s="505">
        <v>15000</v>
      </c>
      <c r="J508" s="505">
        <f t="shared" si="31"/>
        <v>15</v>
      </c>
      <c r="K508" s="506">
        <f t="shared" si="32"/>
        <v>1</v>
      </c>
    </row>
    <row r="509" spans="1:11" ht="21.9" customHeight="1">
      <c r="A509" s="1136" t="s">
        <v>3210</v>
      </c>
      <c r="B509" s="1130" t="s">
        <v>3211</v>
      </c>
      <c r="C509" s="493" t="s">
        <v>3183</v>
      </c>
      <c r="D509" s="493" t="s">
        <v>3184</v>
      </c>
      <c r="E509" s="505">
        <v>0</v>
      </c>
      <c r="F509" s="505">
        <f t="shared" si="29"/>
        <v>0</v>
      </c>
      <c r="G509" s="505">
        <v>78000</v>
      </c>
      <c r="H509" s="505">
        <f t="shared" si="30"/>
        <v>78</v>
      </c>
      <c r="I509" s="505">
        <v>78000</v>
      </c>
      <c r="J509" s="505">
        <f t="shared" si="31"/>
        <v>78</v>
      </c>
      <c r="K509" s="506">
        <f t="shared" si="32"/>
        <v>1</v>
      </c>
    </row>
    <row r="510" spans="1:11" ht="21.9" customHeight="1">
      <c r="A510" s="1136"/>
      <c r="B510" s="1130"/>
      <c r="C510" s="493" t="s">
        <v>3185</v>
      </c>
      <c r="D510" s="493" t="s">
        <v>3186</v>
      </c>
      <c r="E510" s="505">
        <v>0</v>
      </c>
      <c r="F510" s="505">
        <f t="shared" si="29"/>
        <v>0</v>
      </c>
      <c r="G510" s="505">
        <v>70000</v>
      </c>
      <c r="H510" s="505">
        <f t="shared" si="30"/>
        <v>70</v>
      </c>
      <c r="I510" s="505">
        <v>70000</v>
      </c>
      <c r="J510" s="505">
        <f t="shared" si="31"/>
        <v>70</v>
      </c>
      <c r="K510" s="506">
        <f t="shared" si="32"/>
        <v>1</v>
      </c>
    </row>
    <row r="511" spans="1:11" ht="21.9" customHeight="1">
      <c r="A511" s="1136"/>
      <c r="B511" s="1130"/>
      <c r="C511" s="493" t="s">
        <v>3124</v>
      </c>
      <c r="D511" s="493" t="s">
        <v>3125</v>
      </c>
      <c r="E511" s="505">
        <v>0</v>
      </c>
      <c r="F511" s="505">
        <f t="shared" si="29"/>
        <v>0</v>
      </c>
      <c r="G511" s="505">
        <v>5000</v>
      </c>
      <c r="H511" s="505">
        <f t="shared" si="30"/>
        <v>5</v>
      </c>
      <c r="I511" s="505">
        <v>5000</v>
      </c>
      <c r="J511" s="505">
        <f t="shared" si="31"/>
        <v>5</v>
      </c>
      <c r="K511" s="506">
        <f t="shared" si="32"/>
        <v>1</v>
      </c>
    </row>
    <row r="512" spans="1:11" ht="21.9" customHeight="1">
      <c r="A512" s="509" t="s">
        <v>3216</v>
      </c>
      <c r="B512" s="493" t="s">
        <v>3217</v>
      </c>
      <c r="C512" s="493" t="s">
        <v>3124</v>
      </c>
      <c r="D512" s="493" t="s">
        <v>3125</v>
      </c>
      <c r="E512" s="505">
        <v>0</v>
      </c>
      <c r="F512" s="505">
        <f t="shared" si="29"/>
        <v>0</v>
      </c>
      <c r="G512" s="505">
        <v>30000</v>
      </c>
      <c r="H512" s="505">
        <f t="shared" si="30"/>
        <v>30</v>
      </c>
      <c r="I512" s="505">
        <v>30000</v>
      </c>
      <c r="J512" s="505">
        <f t="shared" si="31"/>
        <v>30</v>
      </c>
      <c r="K512" s="506">
        <f t="shared" si="32"/>
        <v>1</v>
      </c>
    </row>
    <row r="513" spans="1:11" ht="21.9" customHeight="1">
      <c r="A513" s="1136" t="s">
        <v>3222</v>
      </c>
      <c r="B513" s="1130" t="s">
        <v>3223</v>
      </c>
      <c r="C513" s="493" t="s">
        <v>3212</v>
      </c>
      <c r="D513" s="493" t="s">
        <v>3213</v>
      </c>
      <c r="E513" s="505">
        <v>0</v>
      </c>
      <c r="F513" s="505">
        <f t="shared" si="29"/>
        <v>0</v>
      </c>
      <c r="G513" s="505">
        <v>30000</v>
      </c>
      <c r="H513" s="505">
        <f t="shared" si="30"/>
        <v>30</v>
      </c>
      <c r="I513" s="505">
        <v>30000</v>
      </c>
      <c r="J513" s="505">
        <f t="shared" si="31"/>
        <v>30</v>
      </c>
      <c r="K513" s="506">
        <f t="shared" si="32"/>
        <v>1</v>
      </c>
    </row>
    <row r="514" spans="1:11" ht="21.9" customHeight="1">
      <c r="A514" s="1136"/>
      <c r="B514" s="1130"/>
      <c r="C514" s="493" t="s">
        <v>3124</v>
      </c>
      <c r="D514" s="493" t="s">
        <v>3125</v>
      </c>
      <c r="E514" s="505">
        <v>0</v>
      </c>
      <c r="F514" s="505">
        <f t="shared" si="29"/>
        <v>0</v>
      </c>
      <c r="G514" s="505">
        <v>20000</v>
      </c>
      <c r="H514" s="505">
        <f t="shared" si="30"/>
        <v>20</v>
      </c>
      <c r="I514" s="505">
        <v>20000</v>
      </c>
      <c r="J514" s="505">
        <f t="shared" si="31"/>
        <v>20</v>
      </c>
      <c r="K514" s="506">
        <f t="shared" si="32"/>
        <v>1</v>
      </c>
    </row>
    <row r="515" spans="1:11" ht="21.9" customHeight="1">
      <c r="A515" s="509" t="s">
        <v>3224</v>
      </c>
      <c r="B515" s="493" t="s">
        <v>3225</v>
      </c>
      <c r="C515" s="493" t="s">
        <v>3124</v>
      </c>
      <c r="D515" s="493" t="s">
        <v>3125</v>
      </c>
      <c r="E515" s="505">
        <v>0</v>
      </c>
      <c r="F515" s="505">
        <f t="shared" si="29"/>
        <v>0</v>
      </c>
      <c r="G515" s="505">
        <v>80000</v>
      </c>
      <c r="H515" s="505">
        <f t="shared" si="30"/>
        <v>80</v>
      </c>
      <c r="I515" s="505">
        <v>80000</v>
      </c>
      <c r="J515" s="505">
        <f t="shared" si="31"/>
        <v>80</v>
      </c>
      <c r="K515" s="506">
        <f t="shared" si="32"/>
        <v>1</v>
      </c>
    </row>
    <row r="516" spans="1:11" ht="21.9" customHeight="1">
      <c r="A516" s="1136" t="s">
        <v>3226</v>
      </c>
      <c r="B516" s="1130" t="s">
        <v>3227</v>
      </c>
      <c r="C516" s="493" t="s">
        <v>3183</v>
      </c>
      <c r="D516" s="493" t="s">
        <v>3184</v>
      </c>
      <c r="E516" s="505">
        <v>0</v>
      </c>
      <c r="F516" s="505">
        <f t="shared" si="29"/>
        <v>0</v>
      </c>
      <c r="G516" s="505">
        <v>10000</v>
      </c>
      <c r="H516" s="505">
        <f t="shared" si="30"/>
        <v>10</v>
      </c>
      <c r="I516" s="505">
        <v>10000</v>
      </c>
      <c r="J516" s="505">
        <f t="shared" si="31"/>
        <v>10</v>
      </c>
      <c r="K516" s="506">
        <f t="shared" si="32"/>
        <v>1</v>
      </c>
    </row>
    <row r="517" spans="1:11" ht="21.9" customHeight="1">
      <c r="A517" s="1136"/>
      <c r="B517" s="1130"/>
      <c r="C517" s="493" t="s">
        <v>3185</v>
      </c>
      <c r="D517" s="493" t="s">
        <v>3186</v>
      </c>
      <c r="E517" s="505">
        <v>0</v>
      </c>
      <c r="F517" s="505">
        <f t="shared" si="29"/>
        <v>0</v>
      </c>
      <c r="G517" s="505">
        <v>10000</v>
      </c>
      <c r="H517" s="505">
        <f t="shared" si="30"/>
        <v>10</v>
      </c>
      <c r="I517" s="505">
        <v>10000</v>
      </c>
      <c r="J517" s="505">
        <f t="shared" si="31"/>
        <v>10</v>
      </c>
      <c r="K517" s="506">
        <f t="shared" si="32"/>
        <v>1</v>
      </c>
    </row>
    <row r="518" spans="1:11" ht="21.9" customHeight="1">
      <c r="A518" s="1136"/>
      <c r="B518" s="1130"/>
      <c r="C518" s="493" t="s">
        <v>3124</v>
      </c>
      <c r="D518" s="493" t="s">
        <v>3125</v>
      </c>
      <c r="E518" s="505">
        <v>0</v>
      </c>
      <c r="F518" s="505">
        <f t="shared" si="29"/>
        <v>0</v>
      </c>
      <c r="G518" s="505">
        <v>273000</v>
      </c>
      <c r="H518" s="505">
        <f t="shared" si="30"/>
        <v>273</v>
      </c>
      <c r="I518" s="505">
        <v>273000</v>
      </c>
      <c r="J518" s="505">
        <f t="shared" si="31"/>
        <v>273</v>
      </c>
      <c r="K518" s="506">
        <f t="shared" si="32"/>
        <v>1</v>
      </c>
    </row>
    <row r="519" spans="1:11" ht="21.9" customHeight="1">
      <c r="A519" s="1136"/>
      <c r="B519" s="1130"/>
      <c r="C519" s="493" t="s">
        <v>3078</v>
      </c>
      <c r="D519" s="493" t="s">
        <v>3079</v>
      </c>
      <c r="E519" s="505">
        <v>0</v>
      </c>
      <c r="F519" s="505">
        <f t="shared" ref="F519:F582" si="33">E519/1000</f>
        <v>0</v>
      </c>
      <c r="G519" s="505">
        <v>20000</v>
      </c>
      <c r="H519" s="505">
        <f t="shared" ref="H519:H582" si="34">G519/1000</f>
        <v>20</v>
      </c>
      <c r="I519" s="505">
        <v>20000</v>
      </c>
      <c r="J519" s="505">
        <f t="shared" ref="J519:J582" si="35">I519/1000</f>
        <v>20</v>
      </c>
      <c r="K519" s="506">
        <f t="shared" si="32"/>
        <v>1</v>
      </c>
    </row>
    <row r="520" spans="1:11" ht="21.9" customHeight="1">
      <c r="A520" s="1136"/>
      <c r="B520" s="1130"/>
      <c r="C520" s="493" t="s">
        <v>3427</v>
      </c>
      <c r="D520" s="493" t="s">
        <v>3428</v>
      </c>
      <c r="E520" s="505">
        <v>0</v>
      </c>
      <c r="F520" s="505">
        <f t="shared" si="33"/>
        <v>0</v>
      </c>
      <c r="G520" s="505">
        <v>15000</v>
      </c>
      <c r="H520" s="505">
        <f t="shared" si="34"/>
        <v>15</v>
      </c>
      <c r="I520" s="505">
        <v>15000</v>
      </c>
      <c r="J520" s="505">
        <f t="shared" si="35"/>
        <v>15</v>
      </c>
      <c r="K520" s="506">
        <f t="shared" si="32"/>
        <v>1</v>
      </c>
    </row>
    <row r="521" spans="1:11" ht="32.25" customHeight="1">
      <c r="A521" s="509" t="s">
        <v>3230</v>
      </c>
      <c r="B521" s="493" t="s">
        <v>3231</v>
      </c>
      <c r="C521" s="493" t="s">
        <v>3124</v>
      </c>
      <c r="D521" s="493" t="s">
        <v>3125</v>
      </c>
      <c r="E521" s="505">
        <v>0</v>
      </c>
      <c r="F521" s="505">
        <f t="shared" si="33"/>
        <v>0</v>
      </c>
      <c r="G521" s="505">
        <v>70000</v>
      </c>
      <c r="H521" s="505">
        <f t="shared" si="34"/>
        <v>70</v>
      </c>
      <c r="I521" s="505">
        <v>70000</v>
      </c>
      <c r="J521" s="505">
        <f t="shared" si="35"/>
        <v>70</v>
      </c>
      <c r="K521" s="506">
        <f t="shared" si="32"/>
        <v>1</v>
      </c>
    </row>
    <row r="522" spans="1:11" ht="21.9" customHeight="1">
      <c r="A522" s="1136" t="s">
        <v>3234</v>
      </c>
      <c r="B522" s="1130" t="s">
        <v>3235</v>
      </c>
      <c r="C522" s="493" t="s">
        <v>3116</v>
      </c>
      <c r="D522" s="493" t="s">
        <v>3117</v>
      </c>
      <c r="E522" s="505">
        <v>0</v>
      </c>
      <c r="F522" s="505">
        <f t="shared" si="33"/>
        <v>0</v>
      </c>
      <c r="G522" s="505">
        <v>450</v>
      </c>
      <c r="H522" s="505">
        <f t="shared" si="34"/>
        <v>0.45</v>
      </c>
      <c r="I522" s="505">
        <v>450</v>
      </c>
      <c r="J522" s="505">
        <f t="shared" si="35"/>
        <v>0.45</v>
      </c>
      <c r="K522" s="506">
        <f t="shared" si="32"/>
        <v>1</v>
      </c>
    </row>
    <row r="523" spans="1:11" ht="21.9" customHeight="1">
      <c r="A523" s="1136"/>
      <c r="B523" s="1130"/>
      <c r="C523" s="493" t="s">
        <v>3124</v>
      </c>
      <c r="D523" s="493" t="s">
        <v>3125</v>
      </c>
      <c r="E523" s="505">
        <v>0</v>
      </c>
      <c r="F523" s="505">
        <f t="shared" si="33"/>
        <v>0</v>
      </c>
      <c r="G523" s="505">
        <v>150000</v>
      </c>
      <c r="H523" s="505">
        <f t="shared" si="34"/>
        <v>150</v>
      </c>
      <c r="I523" s="505">
        <v>150000</v>
      </c>
      <c r="J523" s="505">
        <f t="shared" si="35"/>
        <v>150</v>
      </c>
      <c r="K523" s="506">
        <f t="shared" si="32"/>
        <v>1</v>
      </c>
    </row>
    <row r="524" spans="1:11" ht="21.9" customHeight="1">
      <c r="A524" s="1136"/>
      <c r="B524" s="1130"/>
      <c r="C524" s="493" t="s">
        <v>3070</v>
      </c>
      <c r="D524" s="493" t="s">
        <v>3429</v>
      </c>
      <c r="E524" s="505">
        <v>0</v>
      </c>
      <c r="F524" s="505">
        <f t="shared" si="33"/>
        <v>0</v>
      </c>
      <c r="G524" s="505">
        <v>50000</v>
      </c>
      <c r="H524" s="505">
        <f t="shared" si="34"/>
        <v>50</v>
      </c>
      <c r="I524" s="505">
        <v>50000</v>
      </c>
      <c r="J524" s="505">
        <f t="shared" si="35"/>
        <v>50</v>
      </c>
      <c r="K524" s="506">
        <f t="shared" si="32"/>
        <v>1</v>
      </c>
    </row>
    <row r="525" spans="1:11" ht="21.9" customHeight="1">
      <c r="A525" s="1136"/>
      <c r="B525" s="1130"/>
      <c r="C525" s="493" t="s">
        <v>3427</v>
      </c>
      <c r="D525" s="493" t="s">
        <v>3428</v>
      </c>
      <c r="E525" s="505">
        <v>0</v>
      </c>
      <c r="F525" s="505">
        <f t="shared" si="33"/>
        <v>0</v>
      </c>
      <c r="G525" s="505">
        <v>20000</v>
      </c>
      <c r="H525" s="505">
        <f t="shared" si="34"/>
        <v>20</v>
      </c>
      <c r="I525" s="505">
        <v>20000</v>
      </c>
      <c r="J525" s="505">
        <f t="shared" si="35"/>
        <v>20</v>
      </c>
      <c r="K525" s="506">
        <f t="shared" si="32"/>
        <v>1</v>
      </c>
    </row>
    <row r="526" spans="1:11" ht="21.9" customHeight="1">
      <c r="A526" s="1136" t="s">
        <v>3266</v>
      </c>
      <c r="B526" s="1130" t="s">
        <v>3267</v>
      </c>
      <c r="C526" s="493" t="s">
        <v>3183</v>
      </c>
      <c r="D526" s="493" t="s">
        <v>3184</v>
      </c>
      <c r="E526" s="505">
        <v>0</v>
      </c>
      <c r="F526" s="505">
        <f t="shared" si="33"/>
        <v>0</v>
      </c>
      <c r="G526" s="505">
        <v>2520</v>
      </c>
      <c r="H526" s="505">
        <f t="shared" si="34"/>
        <v>2.52</v>
      </c>
      <c r="I526" s="505">
        <v>2520</v>
      </c>
      <c r="J526" s="505">
        <f t="shared" si="35"/>
        <v>2.52</v>
      </c>
      <c r="K526" s="506">
        <f t="shared" si="32"/>
        <v>1</v>
      </c>
    </row>
    <row r="527" spans="1:11" ht="21.9" customHeight="1">
      <c r="A527" s="1136"/>
      <c r="B527" s="1130"/>
      <c r="C527" s="493" t="s">
        <v>3185</v>
      </c>
      <c r="D527" s="493" t="s">
        <v>3186</v>
      </c>
      <c r="E527" s="505">
        <v>0</v>
      </c>
      <c r="F527" s="505">
        <f t="shared" si="33"/>
        <v>0</v>
      </c>
      <c r="G527" s="505">
        <v>70000</v>
      </c>
      <c r="H527" s="505">
        <f t="shared" si="34"/>
        <v>70</v>
      </c>
      <c r="I527" s="505">
        <v>70000</v>
      </c>
      <c r="J527" s="505">
        <f t="shared" si="35"/>
        <v>70</v>
      </c>
      <c r="K527" s="506">
        <f t="shared" si="32"/>
        <v>1</v>
      </c>
    </row>
    <row r="528" spans="1:11" ht="21.9" customHeight="1">
      <c r="A528" s="1136"/>
      <c r="B528" s="1130"/>
      <c r="C528" s="493" t="s">
        <v>3124</v>
      </c>
      <c r="D528" s="493" t="s">
        <v>3125</v>
      </c>
      <c r="E528" s="505">
        <v>0</v>
      </c>
      <c r="F528" s="505">
        <f t="shared" si="33"/>
        <v>0</v>
      </c>
      <c r="G528" s="505">
        <v>255000</v>
      </c>
      <c r="H528" s="505">
        <f t="shared" si="34"/>
        <v>255</v>
      </c>
      <c r="I528" s="505">
        <v>255000</v>
      </c>
      <c r="J528" s="505">
        <f t="shared" si="35"/>
        <v>255</v>
      </c>
      <c r="K528" s="506">
        <f t="shared" si="32"/>
        <v>1</v>
      </c>
    </row>
    <row r="529" spans="1:11" ht="21.9" customHeight="1">
      <c r="A529" s="1136"/>
      <c r="B529" s="1130"/>
      <c r="C529" s="493" t="s">
        <v>3187</v>
      </c>
      <c r="D529" s="493" t="s">
        <v>3188</v>
      </c>
      <c r="E529" s="505">
        <v>0</v>
      </c>
      <c r="F529" s="505">
        <f t="shared" si="33"/>
        <v>0</v>
      </c>
      <c r="G529" s="505">
        <v>25000</v>
      </c>
      <c r="H529" s="505">
        <f t="shared" si="34"/>
        <v>25</v>
      </c>
      <c r="I529" s="505">
        <v>25000</v>
      </c>
      <c r="J529" s="505">
        <f t="shared" si="35"/>
        <v>25</v>
      </c>
      <c r="K529" s="506">
        <f t="shared" si="32"/>
        <v>1</v>
      </c>
    </row>
    <row r="530" spans="1:11" ht="21.9" customHeight="1">
      <c r="A530" s="509" t="s">
        <v>3320</v>
      </c>
      <c r="B530" s="493" t="s">
        <v>3321</v>
      </c>
      <c r="C530" s="493" t="s">
        <v>3124</v>
      </c>
      <c r="D530" s="493" t="s">
        <v>3125</v>
      </c>
      <c r="E530" s="505">
        <v>0</v>
      </c>
      <c r="F530" s="505">
        <f t="shared" si="33"/>
        <v>0</v>
      </c>
      <c r="G530" s="505">
        <v>40000</v>
      </c>
      <c r="H530" s="505">
        <f t="shared" si="34"/>
        <v>40</v>
      </c>
      <c r="I530" s="505">
        <v>39999</v>
      </c>
      <c r="J530" s="505">
        <f t="shared" si="35"/>
        <v>39.999000000000002</v>
      </c>
      <c r="K530" s="506">
        <f t="shared" si="32"/>
        <v>0.99997499999999995</v>
      </c>
    </row>
    <row r="531" spans="1:11" ht="21.9" customHeight="1">
      <c r="A531" s="1136" t="s">
        <v>3236</v>
      </c>
      <c r="B531" s="1130" t="s">
        <v>3237</v>
      </c>
      <c r="C531" s="493" t="s">
        <v>3183</v>
      </c>
      <c r="D531" s="493" t="s">
        <v>3184</v>
      </c>
      <c r="E531" s="505">
        <v>0</v>
      </c>
      <c r="F531" s="505">
        <f t="shared" si="33"/>
        <v>0</v>
      </c>
      <c r="G531" s="505">
        <v>50000</v>
      </c>
      <c r="H531" s="505">
        <f t="shared" si="34"/>
        <v>50</v>
      </c>
      <c r="I531" s="505">
        <v>50000</v>
      </c>
      <c r="J531" s="505">
        <f t="shared" si="35"/>
        <v>50</v>
      </c>
      <c r="K531" s="506">
        <f t="shared" si="32"/>
        <v>1</v>
      </c>
    </row>
    <row r="532" spans="1:11" ht="21.9" customHeight="1">
      <c r="A532" s="1136"/>
      <c r="B532" s="1130"/>
      <c r="C532" s="493" t="s">
        <v>3124</v>
      </c>
      <c r="D532" s="493" t="s">
        <v>3125</v>
      </c>
      <c r="E532" s="505">
        <v>0</v>
      </c>
      <c r="F532" s="505">
        <f t="shared" si="33"/>
        <v>0</v>
      </c>
      <c r="G532" s="505">
        <v>1874080</v>
      </c>
      <c r="H532" s="505">
        <f t="shared" si="34"/>
        <v>1874.08</v>
      </c>
      <c r="I532" s="505">
        <v>894800</v>
      </c>
      <c r="J532" s="505">
        <f t="shared" si="35"/>
        <v>894.8</v>
      </c>
      <c r="K532" s="506">
        <f t="shared" si="32"/>
        <v>0.4774609408349697</v>
      </c>
    </row>
    <row r="533" spans="1:11" ht="21.9" customHeight="1">
      <c r="A533" s="1136"/>
      <c r="B533" s="1130"/>
      <c r="C533" s="493" t="s">
        <v>3198</v>
      </c>
      <c r="D533" s="493" t="s">
        <v>3199</v>
      </c>
      <c r="E533" s="505">
        <v>0</v>
      </c>
      <c r="F533" s="505">
        <f t="shared" si="33"/>
        <v>0</v>
      </c>
      <c r="G533" s="505">
        <v>20000</v>
      </c>
      <c r="H533" s="505">
        <f t="shared" si="34"/>
        <v>20</v>
      </c>
      <c r="I533" s="505">
        <v>20000</v>
      </c>
      <c r="J533" s="505">
        <f t="shared" si="35"/>
        <v>20</v>
      </c>
      <c r="K533" s="506">
        <f t="shared" si="32"/>
        <v>1</v>
      </c>
    </row>
    <row r="534" spans="1:11" ht="21.9" customHeight="1">
      <c r="A534" s="509" t="s">
        <v>3335</v>
      </c>
      <c r="B534" s="493" t="s">
        <v>3336</v>
      </c>
      <c r="C534" s="493" t="s">
        <v>3124</v>
      </c>
      <c r="D534" s="493" t="s">
        <v>3125</v>
      </c>
      <c r="E534" s="505">
        <v>0</v>
      </c>
      <c r="F534" s="505">
        <f t="shared" si="33"/>
        <v>0</v>
      </c>
      <c r="G534" s="505">
        <v>10000</v>
      </c>
      <c r="H534" s="505">
        <f t="shared" si="34"/>
        <v>10</v>
      </c>
      <c r="I534" s="505">
        <v>10000</v>
      </c>
      <c r="J534" s="505">
        <f t="shared" si="35"/>
        <v>10</v>
      </c>
      <c r="K534" s="506">
        <f t="shared" si="32"/>
        <v>1</v>
      </c>
    </row>
    <row r="535" spans="1:11" ht="21.9" customHeight="1">
      <c r="A535" s="1136" t="s">
        <v>3430</v>
      </c>
      <c r="B535" s="1130" t="s">
        <v>3431</v>
      </c>
      <c r="C535" s="493" t="s">
        <v>3212</v>
      </c>
      <c r="D535" s="493" t="s">
        <v>3213</v>
      </c>
      <c r="E535" s="505">
        <v>0</v>
      </c>
      <c r="F535" s="505">
        <f t="shared" si="33"/>
        <v>0</v>
      </c>
      <c r="G535" s="505">
        <v>18000</v>
      </c>
      <c r="H535" s="505">
        <f t="shared" si="34"/>
        <v>18</v>
      </c>
      <c r="I535" s="505">
        <v>18000</v>
      </c>
      <c r="J535" s="505">
        <f t="shared" si="35"/>
        <v>18</v>
      </c>
      <c r="K535" s="506">
        <f t="shared" si="32"/>
        <v>1</v>
      </c>
    </row>
    <row r="536" spans="1:11" ht="21.9" customHeight="1">
      <c r="A536" s="1136"/>
      <c r="B536" s="1130"/>
      <c r="C536" s="493" t="s">
        <v>3124</v>
      </c>
      <c r="D536" s="493" t="s">
        <v>3125</v>
      </c>
      <c r="E536" s="505">
        <v>0</v>
      </c>
      <c r="F536" s="505">
        <f t="shared" si="33"/>
        <v>0</v>
      </c>
      <c r="G536" s="505">
        <v>70000</v>
      </c>
      <c r="H536" s="505">
        <f t="shared" si="34"/>
        <v>70</v>
      </c>
      <c r="I536" s="505">
        <v>70000</v>
      </c>
      <c r="J536" s="505">
        <f t="shared" si="35"/>
        <v>70</v>
      </c>
      <c r="K536" s="506">
        <f t="shared" si="32"/>
        <v>1</v>
      </c>
    </row>
    <row r="537" spans="1:11" ht="21.9" customHeight="1">
      <c r="A537" s="1136"/>
      <c r="B537" s="1130"/>
      <c r="C537" s="493" t="s">
        <v>3078</v>
      </c>
      <c r="D537" s="493" t="s">
        <v>3079</v>
      </c>
      <c r="E537" s="505">
        <v>0</v>
      </c>
      <c r="F537" s="505">
        <f t="shared" si="33"/>
        <v>0</v>
      </c>
      <c r="G537" s="505">
        <v>30000</v>
      </c>
      <c r="H537" s="505">
        <f t="shared" si="34"/>
        <v>30</v>
      </c>
      <c r="I537" s="505">
        <v>30000</v>
      </c>
      <c r="J537" s="505">
        <f t="shared" si="35"/>
        <v>30</v>
      </c>
      <c r="K537" s="506">
        <f t="shared" si="32"/>
        <v>1</v>
      </c>
    </row>
    <row r="538" spans="1:11" ht="21.9" customHeight="1">
      <c r="A538" s="509" t="s">
        <v>3384</v>
      </c>
      <c r="B538" s="493" t="s">
        <v>3385</v>
      </c>
      <c r="C538" s="493" t="s">
        <v>3124</v>
      </c>
      <c r="D538" s="493" t="s">
        <v>3125</v>
      </c>
      <c r="E538" s="505">
        <v>0</v>
      </c>
      <c r="F538" s="505">
        <f t="shared" si="33"/>
        <v>0</v>
      </c>
      <c r="G538" s="505">
        <v>40000</v>
      </c>
      <c r="H538" s="505">
        <f t="shared" si="34"/>
        <v>40</v>
      </c>
      <c r="I538" s="505">
        <v>40000</v>
      </c>
      <c r="J538" s="505">
        <f t="shared" si="35"/>
        <v>40</v>
      </c>
      <c r="K538" s="506">
        <f t="shared" si="32"/>
        <v>1</v>
      </c>
    </row>
    <row r="539" spans="1:11" ht="21.9" customHeight="1">
      <c r="A539" s="1136" t="s">
        <v>3268</v>
      </c>
      <c r="B539" s="1130" t="s">
        <v>3269</v>
      </c>
      <c r="C539" s="493" t="s">
        <v>3212</v>
      </c>
      <c r="D539" s="493" t="s">
        <v>3213</v>
      </c>
      <c r="E539" s="505">
        <v>0</v>
      </c>
      <c r="F539" s="505">
        <f t="shared" si="33"/>
        <v>0</v>
      </c>
      <c r="G539" s="505">
        <v>20000</v>
      </c>
      <c r="H539" s="505">
        <f t="shared" si="34"/>
        <v>20</v>
      </c>
      <c r="I539" s="505">
        <v>20000</v>
      </c>
      <c r="J539" s="505">
        <f t="shared" si="35"/>
        <v>20</v>
      </c>
      <c r="K539" s="506">
        <f t="shared" si="32"/>
        <v>1</v>
      </c>
    </row>
    <row r="540" spans="1:11" ht="21.9" customHeight="1">
      <c r="A540" s="1136"/>
      <c r="B540" s="1130"/>
      <c r="C540" s="493" t="s">
        <v>3124</v>
      </c>
      <c r="D540" s="493" t="s">
        <v>3125</v>
      </c>
      <c r="E540" s="505">
        <v>0</v>
      </c>
      <c r="F540" s="505">
        <f t="shared" si="33"/>
        <v>0</v>
      </c>
      <c r="G540" s="505">
        <v>55000</v>
      </c>
      <c r="H540" s="505">
        <f t="shared" si="34"/>
        <v>55</v>
      </c>
      <c r="I540" s="505">
        <v>55000</v>
      </c>
      <c r="J540" s="505">
        <f t="shared" si="35"/>
        <v>55</v>
      </c>
      <c r="K540" s="506">
        <f t="shared" ref="K540:K603" si="36">I540/G540</f>
        <v>1</v>
      </c>
    </row>
    <row r="541" spans="1:11" ht="33.75" customHeight="1">
      <c r="A541" s="509" t="s">
        <v>3432</v>
      </c>
      <c r="B541" s="493" t="s">
        <v>3433</v>
      </c>
      <c r="C541" s="493" t="s">
        <v>3072</v>
      </c>
      <c r="D541" s="493" t="s">
        <v>3073</v>
      </c>
      <c r="E541" s="505">
        <v>0</v>
      </c>
      <c r="F541" s="505">
        <f t="shared" si="33"/>
        <v>0</v>
      </c>
      <c r="G541" s="505">
        <v>31192</v>
      </c>
      <c r="H541" s="505">
        <f t="shared" si="34"/>
        <v>31.192</v>
      </c>
      <c r="I541" s="505">
        <v>31192</v>
      </c>
      <c r="J541" s="505">
        <f t="shared" si="35"/>
        <v>31.192</v>
      </c>
      <c r="K541" s="506">
        <f t="shared" si="36"/>
        <v>1</v>
      </c>
    </row>
    <row r="542" spans="1:11" ht="21.9" customHeight="1">
      <c r="A542" s="1136" t="s">
        <v>3432</v>
      </c>
      <c r="B542" s="1130" t="s">
        <v>3433</v>
      </c>
      <c r="C542" s="493" t="s">
        <v>3154</v>
      </c>
      <c r="D542" s="493" t="s">
        <v>3155</v>
      </c>
      <c r="E542" s="505">
        <v>0</v>
      </c>
      <c r="F542" s="505">
        <f t="shared" si="33"/>
        <v>0</v>
      </c>
      <c r="G542" s="505">
        <v>851</v>
      </c>
      <c r="H542" s="505">
        <f t="shared" si="34"/>
        <v>0.85099999999999998</v>
      </c>
      <c r="I542" s="505">
        <v>851</v>
      </c>
      <c r="J542" s="505">
        <f t="shared" si="35"/>
        <v>0.85099999999999998</v>
      </c>
      <c r="K542" s="506">
        <f t="shared" si="36"/>
        <v>1</v>
      </c>
    </row>
    <row r="543" spans="1:11" ht="21.9" customHeight="1">
      <c r="A543" s="1136"/>
      <c r="B543" s="1130"/>
      <c r="C543" s="493" t="s">
        <v>3156</v>
      </c>
      <c r="D543" s="493" t="s">
        <v>3157</v>
      </c>
      <c r="E543" s="505">
        <v>0</v>
      </c>
      <c r="F543" s="505">
        <f t="shared" si="33"/>
        <v>0</v>
      </c>
      <c r="G543" s="505">
        <v>74540</v>
      </c>
      <c r="H543" s="505">
        <f t="shared" si="34"/>
        <v>74.540000000000006</v>
      </c>
      <c r="I543" s="505">
        <v>74540</v>
      </c>
      <c r="J543" s="505">
        <f t="shared" si="35"/>
        <v>74.540000000000006</v>
      </c>
      <c r="K543" s="506">
        <f t="shared" si="36"/>
        <v>1</v>
      </c>
    </row>
    <row r="544" spans="1:11" ht="21.9" customHeight="1">
      <c r="A544" s="1136"/>
      <c r="B544" s="1130"/>
      <c r="C544" s="493" t="s">
        <v>3074</v>
      </c>
      <c r="D544" s="493" t="s">
        <v>3075</v>
      </c>
      <c r="E544" s="505">
        <v>0</v>
      </c>
      <c r="F544" s="505">
        <f t="shared" si="33"/>
        <v>0</v>
      </c>
      <c r="G544" s="505">
        <v>239718</v>
      </c>
      <c r="H544" s="505">
        <f t="shared" si="34"/>
        <v>239.71799999999999</v>
      </c>
      <c r="I544" s="505">
        <v>239718</v>
      </c>
      <c r="J544" s="505">
        <f t="shared" si="35"/>
        <v>239.71799999999999</v>
      </c>
      <c r="K544" s="506">
        <f t="shared" si="36"/>
        <v>1</v>
      </c>
    </row>
    <row r="545" spans="1:11" ht="21.9" customHeight="1">
      <c r="A545" s="1136"/>
      <c r="B545" s="1130"/>
      <c r="C545" s="493" t="s">
        <v>3076</v>
      </c>
      <c r="D545" s="493" t="s">
        <v>3077</v>
      </c>
      <c r="E545" s="505">
        <v>0</v>
      </c>
      <c r="F545" s="505">
        <f t="shared" si="33"/>
        <v>0</v>
      </c>
      <c r="G545" s="505">
        <v>245415</v>
      </c>
      <c r="H545" s="505">
        <f t="shared" si="34"/>
        <v>245.41499999999999</v>
      </c>
      <c r="I545" s="505">
        <v>245415</v>
      </c>
      <c r="J545" s="505">
        <f t="shared" si="35"/>
        <v>245.41499999999999</v>
      </c>
      <c r="K545" s="506">
        <f t="shared" si="36"/>
        <v>1</v>
      </c>
    </row>
    <row r="546" spans="1:11" ht="21.9" customHeight="1">
      <c r="A546" s="1136"/>
      <c r="B546" s="1130"/>
      <c r="C546" s="493" t="s">
        <v>3139</v>
      </c>
      <c r="D546" s="493" t="s">
        <v>3140</v>
      </c>
      <c r="E546" s="505">
        <v>0</v>
      </c>
      <c r="F546" s="505">
        <f t="shared" si="33"/>
        <v>0</v>
      </c>
      <c r="G546" s="505">
        <v>8284</v>
      </c>
      <c r="H546" s="505">
        <f t="shared" si="34"/>
        <v>8.2840000000000007</v>
      </c>
      <c r="I546" s="505">
        <v>0</v>
      </c>
      <c r="J546" s="505">
        <f t="shared" si="35"/>
        <v>0</v>
      </c>
      <c r="K546" s="506">
        <f t="shared" si="36"/>
        <v>0</v>
      </c>
    </row>
    <row r="547" spans="1:11" ht="21.9" customHeight="1">
      <c r="A547" s="509" t="s">
        <v>3434</v>
      </c>
      <c r="B547" s="493" t="s">
        <v>3435</v>
      </c>
      <c r="C547" s="493" t="s">
        <v>3082</v>
      </c>
      <c r="D547" s="493" t="s">
        <v>3083</v>
      </c>
      <c r="E547" s="505">
        <v>0</v>
      </c>
      <c r="F547" s="505">
        <f t="shared" si="33"/>
        <v>0</v>
      </c>
      <c r="G547" s="505">
        <v>30000</v>
      </c>
      <c r="H547" s="505">
        <f t="shared" si="34"/>
        <v>30</v>
      </c>
      <c r="I547" s="505">
        <v>30000</v>
      </c>
      <c r="J547" s="505">
        <f t="shared" si="35"/>
        <v>30</v>
      </c>
      <c r="K547" s="506">
        <f t="shared" si="36"/>
        <v>1</v>
      </c>
    </row>
    <row r="548" spans="1:11" ht="21.9" customHeight="1">
      <c r="A548" s="1136" t="s">
        <v>3349</v>
      </c>
      <c r="B548" s="1130" t="s">
        <v>3350</v>
      </c>
      <c r="C548" s="493" t="s">
        <v>3183</v>
      </c>
      <c r="D548" s="493" t="s">
        <v>3184</v>
      </c>
      <c r="E548" s="505">
        <v>0</v>
      </c>
      <c r="F548" s="505">
        <f t="shared" si="33"/>
        <v>0</v>
      </c>
      <c r="G548" s="505">
        <v>200000</v>
      </c>
      <c r="H548" s="505">
        <f t="shared" si="34"/>
        <v>200</v>
      </c>
      <c r="I548" s="505">
        <v>200000</v>
      </c>
      <c r="J548" s="505">
        <f t="shared" si="35"/>
        <v>200</v>
      </c>
      <c r="K548" s="506">
        <f t="shared" si="36"/>
        <v>1</v>
      </c>
    </row>
    <row r="549" spans="1:11" ht="21.9" customHeight="1">
      <c r="A549" s="1136"/>
      <c r="B549" s="1130"/>
      <c r="C549" s="493" t="s">
        <v>3212</v>
      </c>
      <c r="D549" s="493" t="s">
        <v>3213</v>
      </c>
      <c r="E549" s="505">
        <v>0</v>
      </c>
      <c r="F549" s="505">
        <f t="shared" si="33"/>
        <v>0</v>
      </c>
      <c r="G549" s="505">
        <v>30000</v>
      </c>
      <c r="H549" s="505">
        <f t="shared" si="34"/>
        <v>30</v>
      </c>
      <c r="I549" s="505">
        <v>30000</v>
      </c>
      <c r="J549" s="505">
        <f t="shared" si="35"/>
        <v>30</v>
      </c>
      <c r="K549" s="506">
        <f t="shared" si="36"/>
        <v>1</v>
      </c>
    </row>
    <row r="550" spans="1:11" ht="21.9" customHeight="1">
      <c r="A550" s="1136"/>
      <c r="B550" s="1130"/>
      <c r="C550" s="493" t="s">
        <v>3124</v>
      </c>
      <c r="D550" s="493" t="s">
        <v>3125</v>
      </c>
      <c r="E550" s="505">
        <v>0</v>
      </c>
      <c r="F550" s="505">
        <f t="shared" si="33"/>
        <v>0</v>
      </c>
      <c r="G550" s="505">
        <v>60000</v>
      </c>
      <c r="H550" s="505">
        <f t="shared" si="34"/>
        <v>60</v>
      </c>
      <c r="I550" s="505">
        <v>60000</v>
      </c>
      <c r="J550" s="505">
        <f t="shared" si="35"/>
        <v>60</v>
      </c>
      <c r="K550" s="506">
        <f t="shared" si="36"/>
        <v>1</v>
      </c>
    </row>
    <row r="551" spans="1:11" ht="21.9" customHeight="1">
      <c r="A551" s="509" t="s">
        <v>3274</v>
      </c>
      <c r="B551" s="493" t="s">
        <v>3275</v>
      </c>
      <c r="C551" s="493" t="s">
        <v>3124</v>
      </c>
      <c r="D551" s="493" t="s">
        <v>3125</v>
      </c>
      <c r="E551" s="505">
        <v>0</v>
      </c>
      <c r="F551" s="505">
        <f t="shared" si="33"/>
        <v>0</v>
      </c>
      <c r="G551" s="505">
        <v>51750</v>
      </c>
      <c r="H551" s="505">
        <f t="shared" si="34"/>
        <v>51.75</v>
      </c>
      <c r="I551" s="505">
        <v>51750</v>
      </c>
      <c r="J551" s="505">
        <f t="shared" si="35"/>
        <v>51.75</v>
      </c>
      <c r="K551" s="506">
        <f t="shared" si="36"/>
        <v>1</v>
      </c>
    </row>
    <row r="552" spans="1:11" ht="21.9" customHeight="1">
      <c r="A552" s="509" t="s">
        <v>3176</v>
      </c>
      <c r="B552" s="493" t="s">
        <v>3177</v>
      </c>
      <c r="C552" s="493" t="s">
        <v>3124</v>
      </c>
      <c r="D552" s="493" t="s">
        <v>3125</v>
      </c>
      <c r="E552" s="505">
        <v>0</v>
      </c>
      <c r="F552" s="505">
        <f t="shared" si="33"/>
        <v>0</v>
      </c>
      <c r="G552" s="505">
        <v>125000</v>
      </c>
      <c r="H552" s="505">
        <f t="shared" si="34"/>
        <v>125</v>
      </c>
      <c r="I552" s="505">
        <v>125000</v>
      </c>
      <c r="J552" s="505">
        <f t="shared" si="35"/>
        <v>125</v>
      </c>
      <c r="K552" s="506">
        <f t="shared" si="36"/>
        <v>1</v>
      </c>
    </row>
    <row r="553" spans="1:11" ht="21.9" customHeight="1">
      <c r="A553" s="509" t="s">
        <v>3436</v>
      </c>
      <c r="B553" s="493" t="s">
        <v>3437</v>
      </c>
      <c r="C553" s="493" t="s">
        <v>3212</v>
      </c>
      <c r="D553" s="493" t="s">
        <v>3213</v>
      </c>
      <c r="E553" s="505">
        <v>0</v>
      </c>
      <c r="F553" s="505">
        <f t="shared" si="33"/>
        <v>0</v>
      </c>
      <c r="G553" s="505">
        <v>30000</v>
      </c>
      <c r="H553" s="505">
        <f t="shared" si="34"/>
        <v>30</v>
      </c>
      <c r="I553" s="505">
        <v>30000</v>
      </c>
      <c r="J553" s="505">
        <f t="shared" si="35"/>
        <v>30</v>
      </c>
      <c r="K553" s="506">
        <f t="shared" si="36"/>
        <v>1</v>
      </c>
    </row>
    <row r="554" spans="1:11" ht="21.9" customHeight="1">
      <c r="A554" s="509" t="s">
        <v>3438</v>
      </c>
      <c r="B554" s="493" t="s">
        <v>3439</v>
      </c>
      <c r="C554" s="493" t="s">
        <v>3440</v>
      </c>
      <c r="D554" s="493" t="s">
        <v>3441</v>
      </c>
      <c r="E554" s="505">
        <v>500000</v>
      </c>
      <c r="F554" s="505">
        <f t="shared" si="33"/>
        <v>500</v>
      </c>
      <c r="G554" s="505">
        <v>500000</v>
      </c>
      <c r="H554" s="505">
        <f t="shared" si="34"/>
        <v>500</v>
      </c>
      <c r="I554" s="505">
        <v>105914</v>
      </c>
      <c r="J554" s="505">
        <f t="shared" si="35"/>
        <v>105.914</v>
      </c>
      <c r="K554" s="506">
        <f t="shared" si="36"/>
        <v>0.21182799999999999</v>
      </c>
    </row>
    <row r="555" spans="1:11" ht="21.9" customHeight="1">
      <c r="A555" s="1136" t="s">
        <v>3438</v>
      </c>
      <c r="B555" s="1130" t="s">
        <v>3439</v>
      </c>
      <c r="C555" s="493" t="s">
        <v>3115</v>
      </c>
      <c r="D555" s="493" t="s">
        <v>1492</v>
      </c>
      <c r="E555" s="505">
        <v>600000</v>
      </c>
      <c r="F555" s="505">
        <f t="shared" si="33"/>
        <v>600</v>
      </c>
      <c r="G555" s="505">
        <v>1450000</v>
      </c>
      <c r="H555" s="505">
        <f t="shared" si="34"/>
        <v>1450</v>
      </c>
      <c r="I555" s="505">
        <v>1224390</v>
      </c>
      <c r="J555" s="505">
        <f t="shared" si="35"/>
        <v>1224.3900000000001</v>
      </c>
      <c r="K555" s="506">
        <f t="shared" si="36"/>
        <v>0.84440689655172418</v>
      </c>
    </row>
    <row r="556" spans="1:11" ht="21.9" customHeight="1">
      <c r="A556" s="1136"/>
      <c r="B556" s="1130"/>
      <c r="C556" s="493" t="s">
        <v>3442</v>
      </c>
      <c r="D556" s="493" t="s">
        <v>3443</v>
      </c>
      <c r="E556" s="505">
        <v>12000000</v>
      </c>
      <c r="F556" s="505">
        <f t="shared" si="33"/>
        <v>12000</v>
      </c>
      <c r="G556" s="505">
        <v>11430000</v>
      </c>
      <c r="H556" s="505">
        <f t="shared" si="34"/>
        <v>11430</v>
      </c>
      <c r="I556" s="505">
        <v>11378566</v>
      </c>
      <c r="J556" s="505">
        <f t="shared" si="35"/>
        <v>11378.566000000001</v>
      </c>
      <c r="K556" s="506">
        <f t="shared" si="36"/>
        <v>0.99550008748906382</v>
      </c>
    </row>
    <row r="557" spans="1:11" ht="21.9" customHeight="1">
      <c r="A557" s="1136"/>
      <c r="B557" s="1130"/>
      <c r="C557" s="493" t="s">
        <v>3133</v>
      </c>
      <c r="D557" s="493" t="s">
        <v>3134</v>
      </c>
      <c r="E557" s="505">
        <v>3000000</v>
      </c>
      <c r="F557" s="505">
        <f t="shared" si="33"/>
        <v>3000</v>
      </c>
      <c r="G557" s="505">
        <v>2961932</v>
      </c>
      <c r="H557" s="505">
        <f t="shared" si="34"/>
        <v>2961.9319999999998</v>
      </c>
      <c r="I557" s="505">
        <v>2360323</v>
      </c>
      <c r="J557" s="505">
        <f t="shared" si="35"/>
        <v>2360.3229999999999</v>
      </c>
      <c r="K557" s="506">
        <f t="shared" si="36"/>
        <v>0.79688628908428683</v>
      </c>
    </row>
    <row r="558" spans="1:11" ht="21.9" customHeight="1">
      <c r="A558" s="1136"/>
      <c r="B558" s="1130"/>
      <c r="C558" s="493" t="s">
        <v>3135</v>
      </c>
      <c r="D558" s="493" t="s">
        <v>3136</v>
      </c>
      <c r="E558" s="505">
        <v>1080000</v>
      </c>
      <c r="F558" s="505">
        <f t="shared" si="33"/>
        <v>1080</v>
      </c>
      <c r="G558" s="505">
        <v>1118068</v>
      </c>
      <c r="H558" s="505">
        <f t="shared" si="34"/>
        <v>1118.068</v>
      </c>
      <c r="I558" s="505">
        <v>1118068</v>
      </c>
      <c r="J558" s="505">
        <f t="shared" si="35"/>
        <v>1118.068</v>
      </c>
      <c r="K558" s="506">
        <f t="shared" si="36"/>
        <v>1</v>
      </c>
    </row>
    <row r="559" spans="1:11" ht="21.9" customHeight="1">
      <c r="A559" s="1136"/>
      <c r="B559" s="1130"/>
      <c r="C559" s="493" t="s">
        <v>3444</v>
      </c>
      <c r="D559" s="493" t="s">
        <v>3445</v>
      </c>
      <c r="E559" s="505">
        <v>315000</v>
      </c>
      <c r="F559" s="505">
        <f t="shared" si="33"/>
        <v>315</v>
      </c>
      <c r="G559" s="505">
        <v>35000</v>
      </c>
      <c r="H559" s="505">
        <f t="shared" si="34"/>
        <v>35</v>
      </c>
      <c r="I559" s="505">
        <v>7734</v>
      </c>
      <c r="J559" s="505">
        <f t="shared" si="35"/>
        <v>7.734</v>
      </c>
      <c r="K559" s="506">
        <f t="shared" si="36"/>
        <v>0.22097142857142857</v>
      </c>
    </row>
    <row r="560" spans="1:11" ht="21.9" customHeight="1">
      <c r="A560" s="1136"/>
      <c r="B560" s="1130"/>
      <c r="C560" s="493" t="s">
        <v>3145</v>
      </c>
      <c r="D560" s="493" t="s">
        <v>3146</v>
      </c>
      <c r="E560" s="505">
        <v>50000</v>
      </c>
      <c r="F560" s="505">
        <f t="shared" si="33"/>
        <v>50</v>
      </c>
      <c r="G560" s="505">
        <v>676181</v>
      </c>
      <c r="H560" s="505">
        <f t="shared" si="34"/>
        <v>676.18100000000004</v>
      </c>
      <c r="I560" s="505">
        <v>647704</v>
      </c>
      <c r="J560" s="505">
        <f t="shared" si="35"/>
        <v>647.70399999999995</v>
      </c>
      <c r="K560" s="506">
        <f t="shared" si="36"/>
        <v>0.95788553656491382</v>
      </c>
    </row>
    <row r="561" spans="1:11" ht="21.9" customHeight="1">
      <c r="A561" s="1136"/>
      <c r="B561" s="1130"/>
      <c r="C561" s="493" t="s">
        <v>3072</v>
      </c>
      <c r="D561" s="493" t="s">
        <v>3073</v>
      </c>
      <c r="E561" s="505">
        <v>250000</v>
      </c>
      <c r="F561" s="505">
        <f t="shared" si="33"/>
        <v>250</v>
      </c>
      <c r="G561" s="505">
        <v>250000</v>
      </c>
      <c r="H561" s="505">
        <f t="shared" si="34"/>
        <v>250</v>
      </c>
      <c r="I561" s="505">
        <v>247628.76</v>
      </c>
      <c r="J561" s="505">
        <f t="shared" si="35"/>
        <v>247.62876</v>
      </c>
      <c r="K561" s="506">
        <f t="shared" si="36"/>
        <v>0.99051504000000001</v>
      </c>
    </row>
    <row r="562" spans="1:11" ht="21.9" customHeight="1">
      <c r="A562" s="1136"/>
      <c r="B562" s="1130"/>
      <c r="C562" s="493" t="s">
        <v>3150</v>
      </c>
      <c r="D562" s="493" t="s">
        <v>3151</v>
      </c>
      <c r="E562" s="505">
        <v>0</v>
      </c>
      <c r="F562" s="505">
        <f t="shared" si="33"/>
        <v>0</v>
      </c>
      <c r="G562" s="505">
        <v>52</v>
      </c>
      <c r="H562" s="505">
        <f t="shared" si="34"/>
        <v>5.1999999999999998E-2</v>
      </c>
      <c r="I562" s="505">
        <v>52</v>
      </c>
      <c r="J562" s="505">
        <f t="shared" si="35"/>
        <v>5.1999999999999998E-2</v>
      </c>
      <c r="K562" s="506">
        <f t="shared" si="36"/>
        <v>1</v>
      </c>
    </row>
    <row r="563" spans="1:11" ht="21.9" customHeight="1">
      <c r="A563" s="1136"/>
      <c r="B563" s="1130"/>
      <c r="C563" s="493" t="s">
        <v>3154</v>
      </c>
      <c r="D563" s="493" t="s">
        <v>3155</v>
      </c>
      <c r="E563" s="505">
        <v>0</v>
      </c>
      <c r="F563" s="505">
        <f t="shared" si="33"/>
        <v>0</v>
      </c>
      <c r="G563" s="505">
        <v>20000</v>
      </c>
      <c r="H563" s="505">
        <f t="shared" si="34"/>
        <v>20</v>
      </c>
      <c r="I563" s="505">
        <v>14573.72</v>
      </c>
      <c r="J563" s="505">
        <f t="shared" si="35"/>
        <v>14.57372</v>
      </c>
      <c r="K563" s="506">
        <f t="shared" si="36"/>
        <v>0.72868599999999994</v>
      </c>
    </row>
    <row r="564" spans="1:11" ht="21.9" customHeight="1">
      <c r="A564" s="1136"/>
      <c r="B564" s="1130"/>
      <c r="C564" s="493" t="s">
        <v>3156</v>
      </c>
      <c r="D564" s="493" t="s">
        <v>3157</v>
      </c>
      <c r="E564" s="505">
        <v>40000</v>
      </c>
      <c r="F564" s="505">
        <f t="shared" si="33"/>
        <v>40</v>
      </c>
      <c r="G564" s="505">
        <v>31400</v>
      </c>
      <c r="H564" s="505">
        <f t="shared" si="34"/>
        <v>31.4</v>
      </c>
      <c r="I564" s="505">
        <v>25925</v>
      </c>
      <c r="J564" s="505">
        <f t="shared" si="35"/>
        <v>25.925000000000001</v>
      </c>
      <c r="K564" s="506">
        <f t="shared" si="36"/>
        <v>0.82563694267515919</v>
      </c>
    </row>
    <row r="565" spans="1:11" ht="21.9" customHeight="1">
      <c r="A565" s="1136"/>
      <c r="B565" s="1130"/>
      <c r="C565" s="493" t="s">
        <v>3092</v>
      </c>
      <c r="D565" s="493" t="s">
        <v>3093</v>
      </c>
      <c r="E565" s="505">
        <v>1480000</v>
      </c>
      <c r="F565" s="505">
        <f t="shared" si="33"/>
        <v>1480</v>
      </c>
      <c r="G565" s="505">
        <v>568600</v>
      </c>
      <c r="H565" s="505">
        <f t="shared" si="34"/>
        <v>568.6</v>
      </c>
      <c r="I565" s="505">
        <v>513160</v>
      </c>
      <c r="J565" s="505">
        <f t="shared" si="35"/>
        <v>513.16</v>
      </c>
      <c r="K565" s="506">
        <f t="shared" si="36"/>
        <v>0.90249736194161101</v>
      </c>
    </row>
    <row r="566" spans="1:11" ht="21.9" customHeight="1">
      <c r="A566" s="1136"/>
      <c r="B566" s="1130"/>
      <c r="C566" s="493" t="s">
        <v>3406</v>
      </c>
      <c r="D566" s="493" t="s">
        <v>3407</v>
      </c>
      <c r="E566" s="505">
        <v>80000</v>
      </c>
      <c r="F566" s="505">
        <f t="shared" si="33"/>
        <v>80</v>
      </c>
      <c r="G566" s="505">
        <v>80000</v>
      </c>
      <c r="H566" s="505">
        <f t="shared" si="34"/>
        <v>80</v>
      </c>
      <c r="I566" s="505">
        <v>11280</v>
      </c>
      <c r="J566" s="505">
        <f t="shared" si="35"/>
        <v>11.28</v>
      </c>
      <c r="K566" s="506">
        <f t="shared" si="36"/>
        <v>0.14099999999999999</v>
      </c>
    </row>
    <row r="567" spans="1:11" ht="21.9" customHeight="1">
      <c r="A567" s="1136"/>
      <c r="B567" s="1130"/>
      <c r="C567" s="493" t="s">
        <v>3074</v>
      </c>
      <c r="D567" s="493" t="s">
        <v>3075</v>
      </c>
      <c r="E567" s="505">
        <v>9100000</v>
      </c>
      <c r="F567" s="505">
        <f t="shared" si="33"/>
        <v>9100</v>
      </c>
      <c r="G567" s="505">
        <v>13373767</v>
      </c>
      <c r="H567" s="505">
        <f t="shared" si="34"/>
        <v>13373.767</v>
      </c>
      <c r="I567" s="505">
        <v>12339105.810000001</v>
      </c>
      <c r="J567" s="505">
        <f t="shared" si="35"/>
        <v>12339.105810000001</v>
      </c>
      <c r="K567" s="506">
        <f t="shared" si="36"/>
        <v>0.92263502197997027</v>
      </c>
    </row>
    <row r="568" spans="1:11" ht="21.9" customHeight="1">
      <c r="A568" s="1136"/>
      <c r="B568" s="1130"/>
      <c r="C568" s="493" t="s">
        <v>3137</v>
      </c>
      <c r="D568" s="493" t="s">
        <v>3138</v>
      </c>
      <c r="E568" s="505">
        <v>1300000</v>
      </c>
      <c r="F568" s="505">
        <f t="shared" si="33"/>
        <v>1300</v>
      </c>
      <c r="G568" s="505">
        <v>1283350</v>
      </c>
      <c r="H568" s="505">
        <f t="shared" si="34"/>
        <v>1283.3499999999999</v>
      </c>
      <c r="I568" s="505">
        <v>1092880.51</v>
      </c>
      <c r="J568" s="505">
        <f t="shared" si="35"/>
        <v>1092.88051</v>
      </c>
      <c r="K568" s="506">
        <f t="shared" si="36"/>
        <v>0.85158414306307706</v>
      </c>
    </row>
    <row r="569" spans="1:11" ht="21.9" customHeight="1">
      <c r="A569" s="1136"/>
      <c r="B569" s="1130"/>
      <c r="C569" s="493" t="s">
        <v>3076</v>
      </c>
      <c r="D569" s="493" t="s">
        <v>3077</v>
      </c>
      <c r="E569" s="505">
        <v>1700000</v>
      </c>
      <c r="F569" s="505">
        <f t="shared" si="33"/>
        <v>1700</v>
      </c>
      <c r="G569" s="505">
        <v>1700000</v>
      </c>
      <c r="H569" s="505">
        <f t="shared" si="34"/>
        <v>1700</v>
      </c>
      <c r="I569" s="505">
        <v>1319695.1200000001</v>
      </c>
      <c r="J569" s="505">
        <f t="shared" si="35"/>
        <v>1319.6951200000001</v>
      </c>
      <c r="K569" s="506">
        <f t="shared" si="36"/>
        <v>0.77629124705882357</v>
      </c>
    </row>
    <row r="570" spans="1:11" ht="21.9" customHeight="1">
      <c r="A570" s="1136"/>
      <c r="B570" s="1130"/>
      <c r="C570" s="493" t="s">
        <v>3408</v>
      </c>
      <c r="D570" s="493" t="s">
        <v>3409</v>
      </c>
      <c r="E570" s="505">
        <v>80000</v>
      </c>
      <c r="F570" s="505">
        <f t="shared" si="33"/>
        <v>80</v>
      </c>
      <c r="G570" s="505">
        <v>80000</v>
      </c>
      <c r="H570" s="505">
        <f t="shared" si="34"/>
        <v>80</v>
      </c>
      <c r="I570" s="505">
        <v>10090.39</v>
      </c>
      <c r="J570" s="505">
        <f t="shared" si="35"/>
        <v>10.090389999999999</v>
      </c>
      <c r="K570" s="506">
        <f t="shared" si="36"/>
        <v>0.126129875</v>
      </c>
    </row>
    <row r="571" spans="1:11" ht="21.9" customHeight="1">
      <c r="A571" s="1136"/>
      <c r="B571" s="1130"/>
      <c r="C571" s="493" t="s">
        <v>3139</v>
      </c>
      <c r="D571" s="493" t="s">
        <v>3140</v>
      </c>
      <c r="E571" s="505">
        <v>0</v>
      </c>
      <c r="F571" s="505">
        <f t="shared" si="33"/>
        <v>0</v>
      </c>
      <c r="G571" s="505">
        <v>16650</v>
      </c>
      <c r="H571" s="505">
        <f t="shared" si="34"/>
        <v>16.649999999999999</v>
      </c>
      <c r="I571" s="505">
        <v>16650</v>
      </c>
      <c r="J571" s="505">
        <f t="shared" si="35"/>
        <v>16.649999999999999</v>
      </c>
      <c r="K571" s="506">
        <f t="shared" si="36"/>
        <v>1</v>
      </c>
    </row>
    <row r="572" spans="1:11" ht="21.9" customHeight="1">
      <c r="A572" s="1136"/>
      <c r="B572" s="1130"/>
      <c r="C572" s="493" t="s">
        <v>3116</v>
      </c>
      <c r="D572" s="493" t="s">
        <v>3117</v>
      </c>
      <c r="E572" s="505">
        <v>1100000</v>
      </c>
      <c r="F572" s="505">
        <f t="shared" si="33"/>
        <v>1100</v>
      </c>
      <c r="G572" s="505">
        <v>1100000</v>
      </c>
      <c r="H572" s="505">
        <f t="shared" si="34"/>
        <v>1100</v>
      </c>
      <c r="I572" s="505">
        <v>788615.2</v>
      </c>
      <c r="J572" s="505">
        <f t="shared" si="35"/>
        <v>788.61519999999996</v>
      </c>
      <c r="K572" s="506">
        <f t="shared" si="36"/>
        <v>0.71692290909090906</v>
      </c>
    </row>
    <row r="573" spans="1:11" ht="21.9" customHeight="1">
      <c r="A573" s="1136"/>
      <c r="B573" s="1130"/>
      <c r="C573" s="493" t="s">
        <v>3446</v>
      </c>
      <c r="D573" s="493" t="s">
        <v>3447</v>
      </c>
      <c r="E573" s="505">
        <v>20000</v>
      </c>
      <c r="F573" s="505">
        <f t="shared" si="33"/>
        <v>20</v>
      </c>
      <c r="G573" s="505">
        <v>20000</v>
      </c>
      <c r="H573" s="505">
        <f t="shared" si="34"/>
        <v>20</v>
      </c>
      <c r="I573" s="505">
        <v>5000</v>
      </c>
      <c r="J573" s="505">
        <f t="shared" si="35"/>
        <v>5</v>
      </c>
      <c r="K573" s="506">
        <f t="shared" si="36"/>
        <v>0.25</v>
      </c>
    </row>
    <row r="574" spans="1:11" ht="21.9" customHeight="1">
      <c r="A574" s="1136"/>
      <c r="B574" s="1130"/>
      <c r="C574" s="493" t="s">
        <v>3174</v>
      </c>
      <c r="D574" s="493" t="s">
        <v>3448</v>
      </c>
      <c r="E574" s="505">
        <v>20000</v>
      </c>
      <c r="F574" s="505">
        <f t="shared" si="33"/>
        <v>20</v>
      </c>
      <c r="G574" s="505">
        <v>20000</v>
      </c>
      <c r="H574" s="505">
        <f t="shared" si="34"/>
        <v>20</v>
      </c>
      <c r="I574" s="505">
        <v>12934.97</v>
      </c>
      <c r="J574" s="505">
        <f t="shared" si="35"/>
        <v>12.93497</v>
      </c>
      <c r="K574" s="506">
        <f t="shared" si="36"/>
        <v>0.64674849999999995</v>
      </c>
    </row>
    <row r="575" spans="1:11" ht="21.9" customHeight="1">
      <c r="A575" s="1137" t="s">
        <v>3449</v>
      </c>
      <c r="B575" s="1138"/>
      <c r="C575" s="1138"/>
      <c r="D575" s="1138"/>
      <c r="E575" s="507">
        <v>32915000</v>
      </c>
      <c r="F575" s="507">
        <f t="shared" si="33"/>
        <v>32915</v>
      </c>
      <c r="G575" s="507">
        <v>41645800</v>
      </c>
      <c r="H575" s="507">
        <f t="shared" si="34"/>
        <v>41645.800000000003</v>
      </c>
      <c r="I575" s="507">
        <v>37063525.479999997</v>
      </c>
      <c r="J575" s="507">
        <f t="shared" si="35"/>
        <v>37063.525479999997</v>
      </c>
      <c r="K575" s="508">
        <f t="shared" si="36"/>
        <v>0.88997030865057214</v>
      </c>
    </row>
    <row r="576" spans="1:11" ht="21.9" customHeight="1">
      <c r="A576" s="1145" t="s">
        <v>1499</v>
      </c>
      <c r="B576" s="1146"/>
      <c r="C576" s="1146"/>
      <c r="D576" s="1146"/>
      <c r="E576" s="1146"/>
      <c r="F576" s="1146"/>
      <c r="G576" s="1146"/>
      <c r="H576" s="1146"/>
      <c r="I576" s="1146"/>
      <c r="J576" s="1146"/>
      <c r="K576" s="1147"/>
    </row>
    <row r="577" spans="1:11" ht="21.9" customHeight="1">
      <c r="A577" s="509" t="s">
        <v>3450</v>
      </c>
      <c r="B577" s="493" t="s">
        <v>3451</v>
      </c>
      <c r="C577" s="493" t="s">
        <v>3074</v>
      </c>
      <c r="D577" s="493" t="s">
        <v>3075</v>
      </c>
      <c r="E577" s="505">
        <v>19000000</v>
      </c>
      <c r="F577" s="505">
        <f t="shared" si="33"/>
        <v>19000</v>
      </c>
      <c r="G577" s="505">
        <v>10459114</v>
      </c>
      <c r="H577" s="505">
        <f t="shared" si="34"/>
        <v>10459.114</v>
      </c>
      <c r="I577" s="505">
        <v>10459114</v>
      </c>
      <c r="J577" s="505">
        <f t="shared" si="35"/>
        <v>10459.114</v>
      </c>
      <c r="K577" s="506">
        <f t="shared" si="36"/>
        <v>1</v>
      </c>
    </row>
    <row r="578" spans="1:11" ht="21.9" customHeight="1">
      <c r="A578" s="1136" t="s">
        <v>3251</v>
      </c>
      <c r="B578" s="1130" t="s">
        <v>3252</v>
      </c>
      <c r="C578" s="493" t="s">
        <v>3092</v>
      </c>
      <c r="D578" s="493" t="s">
        <v>3093</v>
      </c>
      <c r="E578" s="505">
        <v>3000000</v>
      </c>
      <c r="F578" s="505">
        <f t="shared" si="33"/>
        <v>3000</v>
      </c>
      <c r="G578" s="505">
        <v>1311656.3999999999</v>
      </c>
      <c r="H578" s="505">
        <f t="shared" si="34"/>
        <v>1311.6563999999998</v>
      </c>
      <c r="I578" s="505">
        <v>1310756</v>
      </c>
      <c r="J578" s="505">
        <f t="shared" si="35"/>
        <v>1310.7560000000001</v>
      </c>
      <c r="K578" s="506">
        <f t="shared" si="36"/>
        <v>0.99931353973494896</v>
      </c>
    </row>
    <row r="579" spans="1:11" ht="21.9" customHeight="1">
      <c r="A579" s="1136"/>
      <c r="B579" s="1130"/>
      <c r="C579" s="493" t="s">
        <v>3074</v>
      </c>
      <c r="D579" s="493" t="s">
        <v>3075</v>
      </c>
      <c r="E579" s="505">
        <v>50000000</v>
      </c>
      <c r="F579" s="505">
        <f t="shared" si="33"/>
        <v>50000</v>
      </c>
      <c r="G579" s="505">
        <v>78149081</v>
      </c>
      <c r="H579" s="505">
        <f t="shared" si="34"/>
        <v>78149.081000000006</v>
      </c>
      <c r="I579" s="505">
        <v>58114598</v>
      </c>
      <c r="J579" s="505">
        <f t="shared" si="35"/>
        <v>58114.597999999998</v>
      </c>
      <c r="K579" s="506">
        <f t="shared" si="36"/>
        <v>0.74363763791412985</v>
      </c>
    </row>
    <row r="580" spans="1:11" ht="21.9" customHeight="1">
      <c r="A580" s="1136"/>
      <c r="B580" s="1130"/>
      <c r="C580" s="493" t="s">
        <v>3094</v>
      </c>
      <c r="D580" s="493" t="s">
        <v>3095</v>
      </c>
      <c r="E580" s="505">
        <v>0</v>
      </c>
      <c r="F580" s="505">
        <f t="shared" si="33"/>
        <v>0</v>
      </c>
      <c r="G580" s="505">
        <v>4024137.4</v>
      </c>
      <c r="H580" s="505">
        <f t="shared" si="34"/>
        <v>4024.1374000000001</v>
      </c>
      <c r="I580" s="505">
        <v>3981168.8</v>
      </c>
      <c r="J580" s="505">
        <f t="shared" si="35"/>
        <v>3981.1687999999999</v>
      </c>
      <c r="K580" s="506">
        <f t="shared" si="36"/>
        <v>0.9893222830810896</v>
      </c>
    </row>
    <row r="581" spans="1:11" ht="21.9" customHeight="1">
      <c r="A581" s="1136"/>
      <c r="B581" s="1130"/>
      <c r="C581" s="493" t="s">
        <v>3185</v>
      </c>
      <c r="D581" s="493" t="s">
        <v>3186</v>
      </c>
      <c r="E581" s="505">
        <v>0</v>
      </c>
      <c r="F581" s="505">
        <f t="shared" si="33"/>
        <v>0</v>
      </c>
      <c r="G581" s="505">
        <v>98541</v>
      </c>
      <c r="H581" s="505">
        <f t="shared" si="34"/>
        <v>98.540999999999997</v>
      </c>
      <c r="I581" s="505">
        <v>0</v>
      </c>
      <c r="J581" s="505">
        <f t="shared" si="35"/>
        <v>0</v>
      </c>
      <c r="K581" s="506">
        <f t="shared" si="36"/>
        <v>0</v>
      </c>
    </row>
    <row r="582" spans="1:11" ht="21.9" customHeight="1">
      <c r="A582" s="1136"/>
      <c r="B582" s="1130"/>
      <c r="C582" s="493" t="s">
        <v>3096</v>
      </c>
      <c r="D582" s="493" t="s">
        <v>3097</v>
      </c>
      <c r="E582" s="505">
        <v>1129000</v>
      </c>
      <c r="F582" s="505">
        <f t="shared" si="33"/>
        <v>1129</v>
      </c>
      <c r="G582" s="505">
        <v>1129000</v>
      </c>
      <c r="H582" s="505">
        <f t="shared" si="34"/>
        <v>1129</v>
      </c>
      <c r="I582" s="505">
        <v>1129000</v>
      </c>
      <c r="J582" s="505">
        <f t="shared" si="35"/>
        <v>1129</v>
      </c>
      <c r="K582" s="506">
        <f t="shared" si="36"/>
        <v>1</v>
      </c>
    </row>
    <row r="583" spans="1:11" ht="21.9" customHeight="1">
      <c r="A583" s="1136"/>
      <c r="B583" s="1130"/>
      <c r="C583" s="493" t="s">
        <v>3102</v>
      </c>
      <c r="D583" s="493" t="s">
        <v>1485</v>
      </c>
      <c r="E583" s="505">
        <v>12000000</v>
      </c>
      <c r="F583" s="505">
        <f t="shared" ref="F583:F646" si="37">E583/1000</f>
        <v>12000</v>
      </c>
      <c r="G583" s="505">
        <v>23137747</v>
      </c>
      <c r="H583" s="505">
        <f t="shared" ref="H583:H646" si="38">G583/1000</f>
        <v>23137.746999999999</v>
      </c>
      <c r="I583" s="505">
        <v>20463259.399999999</v>
      </c>
      <c r="J583" s="505">
        <f t="shared" ref="J583:J646" si="39">I583/1000</f>
        <v>20463.259399999999</v>
      </c>
      <c r="K583" s="506">
        <f t="shared" si="36"/>
        <v>0.88441019776039553</v>
      </c>
    </row>
    <row r="584" spans="1:11" ht="21.9" customHeight="1">
      <c r="A584" s="1136"/>
      <c r="B584" s="1130"/>
      <c r="C584" s="493" t="s">
        <v>3196</v>
      </c>
      <c r="D584" s="493" t="s">
        <v>3197</v>
      </c>
      <c r="E584" s="505">
        <v>0</v>
      </c>
      <c r="F584" s="505">
        <f t="shared" si="37"/>
        <v>0</v>
      </c>
      <c r="G584" s="505">
        <v>21495000</v>
      </c>
      <c r="H584" s="505">
        <f t="shared" si="38"/>
        <v>21495</v>
      </c>
      <c r="I584" s="505">
        <v>1188339</v>
      </c>
      <c r="J584" s="505">
        <f t="shared" si="39"/>
        <v>1188.3389999999999</v>
      </c>
      <c r="K584" s="506">
        <f t="shared" si="36"/>
        <v>5.5284438241451503E-2</v>
      </c>
    </row>
    <row r="585" spans="1:11" ht="21.9" customHeight="1">
      <c r="A585" s="1136" t="s">
        <v>3452</v>
      </c>
      <c r="B585" s="1130" t="s">
        <v>3453</v>
      </c>
      <c r="C585" s="493" t="s">
        <v>3094</v>
      </c>
      <c r="D585" s="493" t="s">
        <v>3095</v>
      </c>
      <c r="E585" s="505">
        <v>0</v>
      </c>
      <c r="F585" s="505">
        <f t="shared" si="37"/>
        <v>0</v>
      </c>
      <c r="G585" s="505">
        <v>410745</v>
      </c>
      <c r="H585" s="505">
        <f t="shared" si="38"/>
        <v>410.745</v>
      </c>
      <c r="I585" s="505">
        <v>397010</v>
      </c>
      <c r="J585" s="505">
        <f t="shared" si="39"/>
        <v>397.01</v>
      </c>
      <c r="K585" s="506">
        <f t="shared" si="36"/>
        <v>0.96656076154304982</v>
      </c>
    </row>
    <row r="586" spans="1:11" ht="21.9" customHeight="1">
      <c r="A586" s="1136"/>
      <c r="B586" s="1130"/>
      <c r="C586" s="493" t="s">
        <v>3102</v>
      </c>
      <c r="D586" s="493" t="s">
        <v>1485</v>
      </c>
      <c r="E586" s="505">
        <v>300000</v>
      </c>
      <c r="F586" s="505">
        <f t="shared" si="37"/>
        <v>300</v>
      </c>
      <c r="G586" s="505">
        <v>39589</v>
      </c>
      <c r="H586" s="505">
        <f t="shared" si="38"/>
        <v>39.588999999999999</v>
      </c>
      <c r="I586" s="505">
        <v>0</v>
      </c>
      <c r="J586" s="505">
        <f t="shared" si="39"/>
        <v>0</v>
      </c>
      <c r="K586" s="506">
        <f t="shared" si="36"/>
        <v>0</v>
      </c>
    </row>
    <row r="587" spans="1:11" ht="21.9" customHeight="1">
      <c r="A587" s="1136" t="s">
        <v>3454</v>
      </c>
      <c r="B587" s="1130" t="s">
        <v>3455</v>
      </c>
      <c r="C587" s="493" t="s">
        <v>3096</v>
      </c>
      <c r="D587" s="493" t="s">
        <v>3097</v>
      </c>
      <c r="E587" s="505">
        <v>13360000</v>
      </c>
      <c r="F587" s="505">
        <f t="shared" si="37"/>
        <v>13360</v>
      </c>
      <c r="G587" s="505">
        <v>14095854</v>
      </c>
      <c r="H587" s="505">
        <f t="shared" si="38"/>
        <v>14095.853999999999</v>
      </c>
      <c r="I587" s="505">
        <v>14095854</v>
      </c>
      <c r="J587" s="505">
        <f t="shared" si="39"/>
        <v>14095.853999999999</v>
      </c>
      <c r="K587" s="506">
        <f t="shared" si="36"/>
        <v>1</v>
      </c>
    </row>
    <row r="588" spans="1:11" ht="21.9" customHeight="1">
      <c r="A588" s="1136"/>
      <c r="B588" s="1130"/>
      <c r="C588" s="493" t="s">
        <v>3103</v>
      </c>
      <c r="D588" s="493" t="s">
        <v>3104</v>
      </c>
      <c r="E588" s="505">
        <v>400000</v>
      </c>
      <c r="F588" s="505">
        <f t="shared" si="37"/>
        <v>400</v>
      </c>
      <c r="G588" s="505">
        <v>400000</v>
      </c>
      <c r="H588" s="505">
        <f t="shared" si="38"/>
        <v>400</v>
      </c>
      <c r="I588" s="505">
        <v>400000</v>
      </c>
      <c r="J588" s="505">
        <f t="shared" si="39"/>
        <v>400</v>
      </c>
      <c r="K588" s="506">
        <f t="shared" si="36"/>
        <v>1</v>
      </c>
    </row>
    <row r="589" spans="1:11" ht="21.9" customHeight="1">
      <c r="A589" s="1136" t="s">
        <v>3253</v>
      </c>
      <c r="B589" s="1130" t="s">
        <v>3254</v>
      </c>
      <c r="C589" s="493" t="s">
        <v>3096</v>
      </c>
      <c r="D589" s="493" t="s">
        <v>3097</v>
      </c>
      <c r="E589" s="505">
        <v>190848000</v>
      </c>
      <c r="F589" s="505">
        <f t="shared" si="37"/>
        <v>190848</v>
      </c>
      <c r="G589" s="505">
        <v>235795826</v>
      </c>
      <c r="H589" s="505">
        <f t="shared" si="38"/>
        <v>235795.826</v>
      </c>
      <c r="I589" s="505">
        <v>235795826</v>
      </c>
      <c r="J589" s="505">
        <f t="shared" si="39"/>
        <v>235795.826</v>
      </c>
      <c r="K589" s="506">
        <f t="shared" si="36"/>
        <v>1</v>
      </c>
    </row>
    <row r="590" spans="1:11" ht="21.9" customHeight="1">
      <c r="A590" s="1136"/>
      <c r="B590" s="1130"/>
      <c r="C590" s="493" t="s">
        <v>3103</v>
      </c>
      <c r="D590" s="493" t="s">
        <v>3104</v>
      </c>
      <c r="E590" s="505">
        <v>15000000</v>
      </c>
      <c r="F590" s="505">
        <f t="shared" si="37"/>
        <v>15000</v>
      </c>
      <c r="G590" s="505">
        <v>15403069</v>
      </c>
      <c r="H590" s="505">
        <f t="shared" si="38"/>
        <v>15403.069</v>
      </c>
      <c r="I590" s="505">
        <v>403069</v>
      </c>
      <c r="J590" s="505">
        <f t="shared" si="39"/>
        <v>403.06900000000002</v>
      </c>
      <c r="K590" s="506">
        <f t="shared" si="36"/>
        <v>2.6168096760457282E-2</v>
      </c>
    </row>
    <row r="591" spans="1:11" ht="21.9" customHeight="1">
      <c r="A591" s="1136" t="s">
        <v>3456</v>
      </c>
      <c r="B591" s="1130" t="s">
        <v>3457</v>
      </c>
      <c r="C591" s="493" t="s">
        <v>3074</v>
      </c>
      <c r="D591" s="493" t="s">
        <v>3075</v>
      </c>
      <c r="E591" s="505">
        <v>0</v>
      </c>
      <c r="F591" s="505">
        <f t="shared" si="37"/>
        <v>0</v>
      </c>
      <c r="G591" s="505">
        <v>4467704.5199999996</v>
      </c>
      <c r="H591" s="505">
        <f t="shared" si="38"/>
        <v>4467.7045199999993</v>
      </c>
      <c r="I591" s="505">
        <v>4462520.5199999996</v>
      </c>
      <c r="J591" s="505">
        <f t="shared" si="39"/>
        <v>4462.5205199999991</v>
      </c>
      <c r="K591" s="506">
        <f t="shared" si="36"/>
        <v>0.99883967259320905</v>
      </c>
    </row>
    <row r="592" spans="1:11" ht="21.9" customHeight="1">
      <c r="A592" s="1136"/>
      <c r="B592" s="1130"/>
      <c r="C592" s="493" t="s">
        <v>3183</v>
      </c>
      <c r="D592" s="493" t="s">
        <v>3184</v>
      </c>
      <c r="E592" s="505">
        <v>56000</v>
      </c>
      <c r="F592" s="505">
        <f t="shared" si="37"/>
        <v>56</v>
      </c>
      <c r="G592" s="505">
        <v>56000</v>
      </c>
      <c r="H592" s="505">
        <f t="shared" si="38"/>
        <v>56</v>
      </c>
      <c r="I592" s="505">
        <v>56000</v>
      </c>
      <c r="J592" s="505">
        <f t="shared" si="39"/>
        <v>56</v>
      </c>
      <c r="K592" s="506">
        <f t="shared" si="36"/>
        <v>1</v>
      </c>
    </row>
    <row r="593" spans="1:11" ht="21.9" customHeight="1">
      <c r="A593" s="1136"/>
      <c r="B593" s="1130"/>
      <c r="C593" s="493" t="s">
        <v>3185</v>
      </c>
      <c r="D593" s="493" t="s">
        <v>3186</v>
      </c>
      <c r="E593" s="505">
        <v>2468000</v>
      </c>
      <c r="F593" s="505">
        <f t="shared" si="37"/>
        <v>2468</v>
      </c>
      <c r="G593" s="505">
        <v>68000</v>
      </c>
      <c r="H593" s="505">
        <f t="shared" si="38"/>
        <v>68</v>
      </c>
      <c r="I593" s="505">
        <v>68000</v>
      </c>
      <c r="J593" s="505">
        <f t="shared" si="39"/>
        <v>68</v>
      </c>
      <c r="K593" s="506">
        <f t="shared" si="36"/>
        <v>1</v>
      </c>
    </row>
    <row r="594" spans="1:11" ht="21.9" customHeight="1">
      <c r="A594" s="1136"/>
      <c r="B594" s="1130"/>
      <c r="C594" s="493" t="s">
        <v>3112</v>
      </c>
      <c r="D594" s="493" t="s">
        <v>3113</v>
      </c>
      <c r="E594" s="505">
        <v>276000</v>
      </c>
      <c r="F594" s="505">
        <f t="shared" si="37"/>
        <v>276</v>
      </c>
      <c r="G594" s="505">
        <v>276000</v>
      </c>
      <c r="H594" s="505">
        <f t="shared" si="38"/>
        <v>276</v>
      </c>
      <c r="I594" s="505">
        <v>276000</v>
      </c>
      <c r="J594" s="505">
        <f t="shared" si="39"/>
        <v>276</v>
      </c>
      <c r="K594" s="506">
        <f t="shared" si="36"/>
        <v>1</v>
      </c>
    </row>
    <row r="595" spans="1:11" ht="21.9" customHeight="1">
      <c r="A595" s="1136" t="s">
        <v>3458</v>
      </c>
      <c r="B595" s="1130" t="s">
        <v>3459</v>
      </c>
      <c r="C595" s="493" t="s">
        <v>3092</v>
      </c>
      <c r="D595" s="493" t="s">
        <v>3093</v>
      </c>
      <c r="E595" s="505">
        <v>0</v>
      </c>
      <c r="F595" s="505">
        <f t="shared" si="37"/>
        <v>0</v>
      </c>
      <c r="G595" s="505">
        <v>8592</v>
      </c>
      <c r="H595" s="505">
        <f t="shared" si="38"/>
        <v>8.5920000000000005</v>
      </c>
      <c r="I595" s="505">
        <v>8592</v>
      </c>
      <c r="J595" s="505">
        <f t="shared" si="39"/>
        <v>8.5920000000000005</v>
      </c>
      <c r="K595" s="506">
        <f t="shared" si="36"/>
        <v>1</v>
      </c>
    </row>
    <row r="596" spans="1:11" ht="21.9" customHeight="1">
      <c r="A596" s="1136"/>
      <c r="B596" s="1130"/>
      <c r="C596" s="493" t="s">
        <v>3078</v>
      </c>
      <c r="D596" s="493" t="s">
        <v>3079</v>
      </c>
      <c r="E596" s="505">
        <v>0</v>
      </c>
      <c r="F596" s="505">
        <f t="shared" si="37"/>
        <v>0</v>
      </c>
      <c r="G596" s="505">
        <v>500000</v>
      </c>
      <c r="H596" s="505">
        <f t="shared" si="38"/>
        <v>500</v>
      </c>
      <c r="I596" s="505">
        <v>500000</v>
      </c>
      <c r="J596" s="505">
        <f t="shared" si="39"/>
        <v>500</v>
      </c>
      <c r="K596" s="506">
        <f t="shared" si="36"/>
        <v>1</v>
      </c>
    </row>
    <row r="597" spans="1:11" ht="21.9" customHeight="1">
      <c r="A597" s="1136" t="s">
        <v>3384</v>
      </c>
      <c r="B597" s="1130" t="s">
        <v>3385</v>
      </c>
      <c r="C597" s="493" t="s">
        <v>3115</v>
      </c>
      <c r="D597" s="493" t="s">
        <v>1492</v>
      </c>
      <c r="E597" s="505">
        <v>2000</v>
      </c>
      <c r="F597" s="505">
        <f t="shared" si="37"/>
        <v>2</v>
      </c>
      <c r="G597" s="505">
        <v>0</v>
      </c>
      <c r="H597" s="505">
        <f t="shared" si="38"/>
        <v>0</v>
      </c>
      <c r="I597" s="505">
        <v>0</v>
      </c>
      <c r="J597" s="505">
        <f t="shared" si="39"/>
        <v>0</v>
      </c>
      <c r="K597" s="510" t="s">
        <v>1147</v>
      </c>
    </row>
    <row r="598" spans="1:11" ht="21.9" customHeight="1">
      <c r="A598" s="1148"/>
      <c r="B598" s="1149"/>
      <c r="C598" s="493" t="s">
        <v>3150</v>
      </c>
      <c r="D598" s="493" t="s">
        <v>3151</v>
      </c>
      <c r="E598" s="505">
        <v>0</v>
      </c>
      <c r="F598" s="505">
        <f t="shared" si="37"/>
        <v>0</v>
      </c>
      <c r="G598" s="505">
        <v>288008</v>
      </c>
      <c r="H598" s="505">
        <f t="shared" si="38"/>
        <v>288.00799999999998</v>
      </c>
      <c r="I598" s="505">
        <v>288008</v>
      </c>
      <c r="J598" s="505">
        <f t="shared" si="39"/>
        <v>288.00799999999998</v>
      </c>
      <c r="K598" s="506">
        <f t="shared" si="36"/>
        <v>1</v>
      </c>
    </row>
    <row r="599" spans="1:11" ht="21.9" customHeight="1">
      <c r="A599" s="1148"/>
      <c r="B599" s="1149"/>
      <c r="C599" s="493" t="s">
        <v>3092</v>
      </c>
      <c r="D599" s="493" t="s">
        <v>3093</v>
      </c>
      <c r="E599" s="505">
        <v>0</v>
      </c>
      <c r="F599" s="505">
        <f t="shared" si="37"/>
        <v>0</v>
      </c>
      <c r="G599" s="505">
        <v>132968</v>
      </c>
      <c r="H599" s="505">
        <f t="shared" si="38"/>
        <v>132.96799999999999</v>
      </c>
      <c r="I599" s="505">
        <v>132968</v>
      </c>
      <c r="J599" s="505">
        <f t="shared" si="39"/>
        <v>132.96799999999999</v>
      </c>
      <c r="K599" s="506">
        <f t="shared" si="36"/>
        <v>1</v>
      </c>
    </row>
    <row r="600" spans="1:11" ht="21.9" customHeight="1">
      <c r="A600" s="1148"/>
      <c r="B600" s="1149"/>
      <c r="C600" s="493" t="s">
        <v>3074</v>
      </c>
      <c r="D600" s="493" t="s">
        <v>3075</v>
      </c>
      <c r="E600" s="505">
        <v>0</v>
      </c>
      <c r="F600" s="505">
        <f t="shared" si="37"/>
        <v>0</v>
      </c>
      <c r="G600" s="505">
        <v>117700</v>
      </c>
      <c r="H600" s="505">
        <f t="shared" si="38"/>
        <v>117.7</v>
      </c>
      <c r="I600" s="505">
        <v>110325</v>
      </c>
      <c r="J600" s="505">
        <f t="shared" si="39"/>
        <v>110.325</v>
      </c>
      <c r="K600" s="506">
        <f t="shared" si="36"/>
        <v>0.93734069668649111</v>
      </c>
    </row>
    <row r="601" spans="1:11" ht="21.9" customHeight="1">
      <c r="A601" s="1136" t="s">
        <v>3384</v>
      </c>
      <c r="B601" s="1130" t="s">
        <v>3385</v>
      </c>
      <c r="C601" s="493" t="s">
        <v>3137</v>
      </c>
      <c r="D601" s="493" t="s">
        <v>3138</v>
      </c>
      <c r="E601" s="505">
        <v>8000</v>
      </c>
      <c r="F601" s="505">
        <f t="shared" si="37"/>
        <v>8</v>
      </c>
      <c r="G601" s="505">
        <v>0</v>
      </c>
      <c r="H601" s="505">
        <f t="shared" si="38"/>
        <v>0</v>
      </c>
      <c r="I601" s="505">
        <v>0</v>
      </c>
      <c r="J601" s="505">
        <f t="shared" si="39"/>
        <v>0</v>
      </c>
      <c r="K601" s="510" t="s">
        <v>1147</v>
      </c>
    </row>
    <row r="602" spans="1:11" ht="21.9" customHeight="1">
      <c r="A602" s="1148"/>
      <c r="B602" s="1149"/>
      <c r="C602" s="493" t="s">
        <v>3212</v>
      </c>
      <c r="D602" s="493" t="s">
        <v>3213</v>
      </c>
      <c r="E602" s="505">
        <v>0</v>
      </c>
      <c r="F602" s="505">
        <f t="shared" si="37"/>
        <v>0</v>
      </c>
      <c r="G602" s="505">
        <v>70000</v>
      </c>
      <c r="H602" s="505">
        <f t="shared" si="38"/>
        <v>70</v>
      </c>
      <c r="I602" s="505">
        <v>70000</v>
      </c>
      <c r="J602" s="505">
        <f t="shared" si="39"/>
        <v>70</v>
      </c>
      <c r="K602" s="506">
        <f t="shared" si="36"/>
        <v>1</v>
      </c>
    </row>
    <row r="603" spans="1:11" ht="21.9" customHeight="1">
      <c r="A603" s="1148"/>
      <c r="B603" s="1149"/>
      <c r="C603" s="493" t="s">
        <v>3124</v>
      </c>
      <c r="D603" s="493" t="s">
        <v>3125</v>
      </c>
      <c r="E603" s="505">
        <v>0</v>
      </c>
      <c r="F603" s="505">
        <f t="shared" si="37"/>
        <v>0</v>
      </c>
      <c r="G603" s="505">
        <v>40000</v>
      </c>
      <c r="H603" s="505">
        <f t="shared" si="38"/>
        <v>40</v>
      </c>
      <c r="I603" s="505">
        <v>40000</v>
      </c>
      <c r="J603" s="505">
        <f t="shared" si="39"/>
        <v>40</v>
      </c>
      <c r="K603" s="506">
        <f t="shared" si="36"/>
        <v>1</v>
      </c>
    </row>
    <row r="604" spans="1:11" ht="21.9" customHeight="1">
      <c r="A604" s="1148"/>
      <c r="B604" s="1149"/>
      <c r="C604" s="493" t="s">
        <v>3418</v>
      </c>
      <c r="D604" s="493" t="s">
        <v>3419</v>
      </c>
      <c r="E604" s="505">
        <v>0</v>
      </c>
      <c r="F604" s="505">
        <f t="shared" si="37"/>
        <v>0</v>
      </c>
      <c r="G604" s="505">
        <v>5000</v>
      </c>
      <c r="H604" s="505">
        <f t="shared" si="38"/>
        <v>5</v>
      </c>
      <c r="I604" s="505">
        <v>5000</v>
      </c>
      <c r="J604" s="505">
        <f t="shared" si="39"/>
        <v>5</v>
      </c>
      <c r="K604" s="506">
        <f t="shared" ref="K604:K667" si="40">I604/G604</f>
        <v>1</v>
      </c>
    </row>
    <row r="605" spans="1:11" ht="21.9" customHeight="1">
      <c r="A605" s="1148"/>
      <c r="B605" s="1149"/>
      <c r="C605" s="493" t="s">
        <v>3086</v>
      </c>
      <c r="D605" s="493" t="s">
        <v>3087</v>
      </c>
      <c r="E605" s="505">
        <v>0</v>
      </c>
      <c r="F605" s="505">
        <f t="shared" si="37"/>
        <v>0</v>
      </c>
      <c r="G605" s="505">
        <v>1000</v>
      </c>
      <c r="H605" s="505">
        <f t="shared" si="38"/>
        <v>1</v>
      </c>
      <c r="I605" s="505">
        <v>1000</v>
      </c>
      <c r="J605" s="505">
        <f t="shared" si="39"/>
        <v>1</v>
      </c>
      <c r="K605" s="506">
        <f t="shared" si="40"/>
        <v>1</v>
      </c>
    </row>
    <row r="606" spans="1:11" ht="21.9" customHeight="1">
      <c r="A606" s="1148"/>
      <c r="B606" s="1149"/>
      <c r="C606" s="493" t="s">
        <v>3427</v>
      </c>
      <c r="D606" s="493" t="s">
        <v>3428</v>
      </c>
      <c r="E606" s="505">
        <v>12000000</v>
      </c>
      <c r="F606" s="505">
        <f t="shared" si="37"/>
        <v>12000</v>
      </c>
      <c r="G606" s="505">
        <v>11711992</v>
      </c>
      <c r="H606" s="505">
        <f t="shared" si="38"/>
        <v>11711.992</v>
      </c>
      <c r="I606" s="505">
        <v>7332960</v>
      </c>
      <c r="J606" s="505">
        <f t="shared" si="39"/>
        <v>7332.96</v>
      </c>
      <c r="K606" s="506">
        <f t="shared" si="40"/>
        <v>0.62610698504575479</v>
      </c>
    </row>
    <row r="607" spans="1:11" ht="21.9" customHeight="1">
      <c r="A607" s="1148"/>
      <c r="B607" s="1149"/>
      <c r="C607" s="493" t="s">
        <v>3460</v>
      </c>
      <c r="D607" s="493" t="s">
        <v>1510</v>
      </c>
      <c r="E607" s="505">
        <v>0</v>
      </c>
      <c r="F607" s="505">
        <f t="shared" si="37"/>
        <v>0</v>
      </c>
      <c r="G607" s="505">
        <v>2000000</v>
      </c>
      <c r="H607" s="505">
        <f t="shared" si="38"/>
        <v>2000</v>
      </c>
      <c r="I607" s="505">
        <v>2000000</v>
      </c>
      <c r="J607" s="505">
        <f t="shared" si="39"/>
        <v>2000</v>
      </c>
      <c r="K607" s="506">
        <f t="shared" si="40"/>
        <v>1</v>
      </c>
    </row>
    <row r="608" spans="1:11" ht="21.9" customHeight="1">
      <c r="A608" s="1136" t="s">
        <v>3461</v>
      </c>
      <c r="B608" s="1130" t="s">
        <v>3462</v>
      </c>
      <c r="C608" s="493" t="s">
        <v>3074</v>
      </c>
      <c r="D608" s="493" t="s">
        <v>3075</v>
      </c>
      <c r="E608" s="505">
        <v>130000</v>
      </c>
      <c r="F608" s="505">
        <f t="shared" si="37"/>
        <v>130</v>
      </c>
      <c r="G608" s="505">
        <v>130000</v>
      </c>
      <c r="H608" s="505">
        <f t="shared" si="38"/>
        <v>130</v>
      </c>
      <c r="I608" s="505">
        <v>0</v>
      </c>
      <c r="J608" s="505">
        <f t="shared" si="39"/>
        <v>0</v>
      </c>
      <c r="K608" s="506">
        <f t="shared" si="40"/>
        <v>0</v>
      </c>
    </row>
    <row r="609" spans="1:11" ht="21.9" customHeight="1">
      <c r="A609" s="1136"/>
      <c r="B609" s="1130"/>
      <c r="C609" s="493" t="s">
        <v>3183</v>
      </c>
      <c r="D609" s="493" t="s">
        <v>3184</v>
      </c>
      <c r="E609" s="505">
        <v>0</v>
      </c>
      <c r="F609" s="505">
        <f t="shared" si="37"/>
        <v>0</v>
      </c>
      <c r="G609" s="505">
        <v>63605.45</v>
      </c>
      <c r="H609" s="505">
        <f t="shared" si="38"/>
        <v>63.605449999999998</v>
      </c>
      <c r="I609" s="505">
        <v>32006</v>
      </c>
      <c r="J609" s="505">
        <f t="shared" si="39"/>
        <v>32.006</v>
      </c>
      <c r="K609" s="506">
        <f t="shared" si="40"/>
        <v>0.50319587393847542</v>
      </c>
    </row>
    <row r="610" spans="1:11" ht="21.9" customHeight="1">
      <c r="A610" s="1136"/>
      <c r="B610" s="1130"/>
      <c r="C610" s="493" t="s">
        <v>3185</v>
      </c>
      <c r="D610" s="493" t="s">
        <v>3186</v>
      </c>
      <c r="E610" s="505">
        <v>0</v>
      </c>
      <c r="F610" s="505">
        <f t="shared" si="37"/>
        <v>0</v>
      </c>
      <c r="G610" s="505">
        <v>110477.96</v>
      </c>
      <c r="H610" s="505">
        <f t="shared" si="38"/>
        <v>110.47796000000001</v>
      </c>
      <c r="I610" s="505">
        <v>110477.96</v>
      </c>
      <c r="J610" s="505">
        <f t="shared" si="39"/>
        <v>110.47796000000001</v>
      </c>
      <c r="K610" s="506">
        <f t="shared" si="40"/>
        <v>1</v>
      </c>
    </row>
    <row r="611" spans="1:11" ht="21.9" customHeight="1">
      <c r="A611" s="1137" t="s">
        <v>1783</v>
      </c>
      <c r="B611" s="1138"/>
      <c r="C611" s="1138"/>
      <c r="D611" s="1138"/>
      <c r="E611" s="507">
        <v>319977000</v>
      </c>
      <c r="F611" s="507">
        <f t="shared" si="37"/>
        <v>319977</v>
      </c>
      <c r="G611" s="507">
        <v>425996407.73000002</v>
      </c>
      <c r="H611" s="507">
        <f t="shared" si="38"/>
        <v>425996.40773000004</v>
      </c>
      <c r="I611" s="507">
        <v>363231851.68000001</v>
      </c>
      <c r="J611" s="507">
        <f t="shared" si="39"/>
        <v>363231.85168000002</v>
      </c>
      <c r="K611" s="508">
        <f t="shared" si="40"/>
        <v>0.85266411896651317</v>
      </c>
    </row>
    <row r="612" spans="1:11" ht="21.9" customHeight="1">
      <c r="A612" s="1145" t="s">
        <v>1518</v>
      </c>
      <c r="B612" s="1146"/>
      <c r="C612" s="1146"/>
      <c r="D612" s="1146"/>
      <c r="E612" s="1146"/>
      <c r="F612" s="1146"/>
      <c r="G612" s="1146"/>
      <c r="H612" s="1146"/>
      <c r="I612" s="1146"/>
      <c r="J612" s="1146"/>
      <c r="K612" s="1147"/>
    </row>
    <row r="613" spans="1:11" ht="21.9" customHeight="1">
      <c r="A613" s="1136" t="s">
        <v>1185</v>
      </c>
      <c r="B613" s="1130" t="s">
        <v>3306</v>
      </c>
      <c r="C613" s="493" t="s">
        <v>3185</v>
      </c>
      <c r="D613" s="493" t="s">
        <v>3186</v>
      </c>
      <c r="E613" s="505">
        <v>0</v>
      </c>
      <c r="F613" s="505">
        <f t="shared" si="37"/>
        <v>0</v>
      </c>
      <c r="G613" s="505">
        <v>1900378</v>
      </c>
      <c r="H613" s="505">
        <f t="shared" si="38"/>
        <v>1900.3779999999999</v>
      </c>
      <c r="I613" s="505">
        <v>1900378</v>
      </c>
      <c r="J613" s="505">
        <f t="shared" si="39"/>
        <v>1900.3779999999999</v>
      </c>
      <c r="K613" s="506">
        <f t="shared" si="40"/>
        <v>1</v>
      </c>
    </row>
    <row r="614" spans="1:11" ht="21.9" customHeight="1">
      <c r="A614" s="1136"/>
      <c r="B614" s="1130"/>
      <c r="C614" s="493" t="s">
        <v>3078</v>
      </c>
      <c r="D614" s="493" t="s">
        <v>3079</v>
      </c>
      <c r="E614" s="505">
        <v>0</v>
      </c>
      <c r="F614" s="505">
        <f t="shared" si="37"/>
        <v>0</v>
      </c>
      <c r="G614" s="505">
        <v>493420609</v>
      </c>
      <c r="H614" s="505">
        <f t="shared" si="38"/>
        <v>493420.609</v>
      </c>
      <c r="I614" s="505">
        <v>493420609</v>
      </c>
      <c r="J614" s="505">
        <f t="shared" si="39"/>
        <v>493420.609</v>
      </c>
      <c r="K614" s="506">
        <f t="shared" si="40"/>
        <v>1</v>
      </c>
    </row>
    <row r="615" spans="1:11" ht="21.9" customHeight="1">
      <c r="A615" s="509" t="s">
        <v>1187</v>
      </c>
      <c r="B615" s="493" t="s">
        <v>3463</v>
      </c>
      <c r="C615" s="493" t="s">
        <v>3096</v>
      </c>
      <c r="D615" s="493" t="s">
        <v>3097</v>
      </c>
      <c r="E615" s="505">
        <v>1574000</v>
      </c>
      <c r="F615" s="505">
        <f t="shared" si="37"/>
        <v>1574</v>
      </c>
      <c r="G615" s="505">
        <v>10529000</v>
      </c>
      <c r="H615" s="505">
        <f t="shared" si="38"/>
        <v>10529</v>
      </c>
      <c r="I615" s="505">
        <v>10529000</v>
      </c>
      <c r="J615" s="505">
        <f t="shared" si="39"/>
        <v>10529</v>
      </c>
      <c r="K615" s="506">
        <f t="shared" si="40"/>
        <v>1</v>
      </c>
    </row>
    <row r="616" spans="1:11" ht="21.9" customHeight="1">
      <c r="A616" s="1136" t="s">
        <v>1189</v>
      </c>
      <c r="B616" s="1130" t="s">
        <v>3307</v>
      </c>
      <c r="C616" s="493" t="s">
        <v>3185</v>
      </c>
      <c r="D616" s="493" t="s">
        <v>3186</v>
      </c>
      <c r="E616" s="505">
        <v>0</v>
      </c>
      <c r="F616" s="505">
        <f t="shared" si="37"/>
        <v>0</v>
      </c>
      <c r="G616" s="505">
        <v>14759271</v>
      </c>
      <c r="H616" s="505">
        <f t="shared" si="38"/>
        <v>14759.271000000001</v>
      </c>
      <c r="I616" s="505">
        <v>14759271</v>
      </c>
      <c r="J616" s="505">
        <f t="shared" si="39"/>
        <v>14759.271000000001</v>
      </c>
      <c r="K616" s="506">
        <f t="shared" si="40"/>
        <v>1</v>
      </c>
    </row>
    <row r="617" spans="1:11" ht="21.9" customHeight="1">
      <c r="A617" s="1136"/>
      <c r="B617" s="1130"/>
      <c r="C617" s="493" t="s">
        <v>3212</v>
      </c>
      <c r="D617" s="493" t="s">
        <v>3213</v>
      </c>
      <c r="E617" s="505">
        <v>0</v>
      </c>
      <c r="F617" s="505">
        <f t="shared" si="37"/>
        <v>0</v>
      </c>
      <c r="G617" s="505">
        <v>2011094</v>
      </c>
      <c r="H617" s="505">
        <f t="shared" si="38"/>
        <v>2011.0940000000001</v>
      </c>
      <c r="I617" s="505">
        <v>2011094</v>
      </c>
      <c r="J617" s="505">
        <f t="shared" si="39"/>
        <v>2011.0940000000001</v>
      </c>
      <c r="K617" s="506">
        <f t="shared" si="40"/>
        <v>1</v>
      </c>
    </row>
    <row r="618" spans="1:11" ht="21.9" customHeight="1">
      <c r="A618" s="1136"/>
      <c r="B618" s="1130"/>
      <c r="C618" s="493" t="s">
        <v>3078</v>
      </c>
      <c r="D618" s="493" t="s">
        <v>3079</v>
      </c>
      <c r="E618" s="505">
        <v>0</v>
      </c>
      <c r="F618" s="505">
        <f t="shared" si="37"/>
        <v>0</v>
      </c>
      <c r="G618" s="505">
        <v>1566524624</v>
      </c>
      <c r="H618" s="505">
        <f t="shared" si="38"/>
        <v>1566524.6240000001</v>
      </c>
      <c r="I618" s="505">
        <v>1566523885.5</v>
      </c>
      <c r="J618" s="505">
        <f t="shared" si="39"/>
        <v>1566523.8855000001</v>
      </c>
      <c r="K618" s="506">
        <f t="shared" si="40"/>
        <v>0.99999952857427921</v>
      </c>
    </row>
    <row r="619" spans="1:11" ht="21.9" customHeight="1">
      <c r="A619" s="1136" t="s">
        <v>3464</v>
      </c>
      <c r="B619" s="1130" t="s">
        <v>3465</v>
      </c>
      <c r="C619" s="493" t="s">
        <v>3124</v>
      </c>
      <c r="D619" s="493" t="s">
        <v>3125</v>
      </c>
      <c r="E619" s="505">
        <v>0</v>
      </c>
      <c r="F619" s="505">
        <f t="shared" si="37"/>
        <v>0</v>
      </c>
      <c r="G619" s="505">
        <v>1126050</v>
      </c>
      <c r="H619" s="505">
        <f t="shared" si="38"/>
        <v>1126.05</v>
      </c>
      <c r="I619" s="505">
        <v>1126050</v>
      </c>
      <c r="J619" s="505">
        <f t="shared" si="39"/>
        <v>1126.05</v>
      </c>
      <c r="K619" s="506">
        <f t="shared" si="40"/>
        <v>1</v>
      </c>
    </row>
    <row r="620" spans="1:11" ht="21.9" customHeight="1">
      <c r="A620" s="1136"/>
      <c r="B620" s="1130"/>
      <c r="C620" s="493" t="s">
        <v>3078</v>
      </c>
      <c r="D620" s="493" t="s">
        <v>3079</v>
      </c>
      <c r="E620" s="505">
        <v>0</v>
      </c>
      <c r="F620" s="505">
        <f t="shared" si="37"/>
        <v>0</v>
      </c>
      <c r="G620" s="505">
        <v>9548000</v>
      </c>
      <c r="H620" s="505">
        <f t="shared" si="38"/>
        <v>9548</v>
      </c>
      <c r="I620" s="505">
        <v>9548000</v>
      </c>
      <c r="J620" s="505">
        <f t="shared" si="39"/>
        <v>9548</v>
      </c>
      <c r="K620" s="506">
        <f t="shared" si="40"/>
        <v>1</v>
      </c>
    </row>
    <row r="621" spans="1:11" ht="21.9" customHeight="1">
      <c r="A621" s="1136"/>
      <c r="B621" s="1130"/>
      <c r="C621" s="493" t="s">
        <v>3096</v>
      </c>
      <c r="D621" s="493" t="s">
        <v>3097</v>
      </c>
      <c r="E621" s="505">
        <v>30353000</v>
      </c>
      <c r="F621" s="505">
        <f t="shared" si="37"/>
        <v>30353</v>
      </c>
      <c r="G621" s="505">
        <v>219011942</v>
      </c>
      <c r="H621" s="505">
        <f t="shared" si="38"/>
        <v>219011.94200000001</v>
      </c>
      <c r="I621" s="505">
        <v>219011942</v>
      </c>
      <c r="J621" s="505">
        <f t="shared" si="39"/>
        <v>219011.94200000001</v>
      </c>
      <c r="K621" s="506">
        <f t="shared" si="40"/>
        <v>1</v>
      </c>
    </row>
    <row r="622" spans="1:11" ht="21.9" customHeight="1">
      <c r="A622" s="1136"/>
      <c r="B622" s="1130"/>
      <c r="C622" s="493" t="s">
        <v>3098</v>
      </c>
      <c r="D622" s="493" t="s">
        <v>3099</v>
      </c>
      <c r="E622" s="505">
        <v>0</v>
      </c>
      <c r="F622" s="505">
        <f t="shared" si="37"/>
        <v>0</v>
      </c>
      <c r="G622" s="505">
        <v>3607700.47</v>
      </c>
      <c r="H622" s="505">
        <f t="shared" si="38"/>
        <v>3607.7004700000002</v>
      </c>
      <c r="I622" s="505">
        <v>3607700.47</v>
      </c>
      <c r="J622" s="505">
        <f t="shared" si="39"/>
        <v>3607.7004700000002</v>
      </c>
      <c r="K622" s="506">
        <f t="shared" si="40"/>
        <v>1</v>
      </c>
    </row>
    <row r="623" spans="1:11" ht="21.9" customHeight="1">
      <c r="A623" s="1136"/>
      <c r="B623" s="1130"/>
      <c r="C623" s="493" t="s">
        <v>3103</v>
      </c>
      <c r="D623" s="493" t="s">
        <v>3104</v>
      </c>
      <c r="E623" s="505">
        <v>0</v>
      </c>
      <c r="F623" s="505">
        <f t="shared" si="37"/>
        <v>0</v>
      </c>
      <c r="G623" s="505">
        <v>538008</v>
      </c>
      <c r="H623" s="505">
        <f t="shared" si="38"/>
        <v>538.00800000000004</v>
      </c>
      <c r="I623" s="505">
        <v>514520</v>
      </c>
      <c r="J623" s="505">
        <f t="shared" si="39"/>
        <v>514.52</v>
      </c>
      <c r="K623" s="506">
        <f t="shared" si="40"/>
        <v>0.95634265661477158</v>
      </c>
    </row>
    <row r="624" spans="1:11" ht="21.9" customHeight="1">
      <c r="A624" s="509" t="s">
        <v>3308</v>
      </c>
      <c r="B624" s="493" t="s">
        <v>3309</v>
      </c>
      <c r="C624" s="493" t="s">
        <v>3078</v>
      </c>
      <c r="D624" s="493" t="s">
        <v>3079</v>
      </c>
      <c r="E624" s="505">
        <v>0</v>
      </c>
      <c r="F624" s="505">
        <f t="shared" si="37"/>
        <v>0</v>
      </c>
      <c r="G624" s="505">
        <v>195808130</v>
      </c>
      <c r="H624" s="505">
        <f t="shared" si="38"/>
        <v>195808.13</v>
      </c>
      <c r="I624" s="505">
        <v>195803330</v>
      </c>
      <c r="J624" s="505">
        <f t="shared" si="39"/>
        <v>195803.33</v>
      </c>
      <c r="K624" s="506">
        <f t="shared" si="40"/>
        <v>0.99997548620682908</v>
      </c>
    </row>
    <row r="625" spans="1:11" ht="21.9" customHeight="1">
      <c r="A625" s="509" t="s">
        <v>3466</v>
      </c>
      <c r="B625" s="493" t="s">
        <v>3467</v>
      </c>
      <c r="C625" s="493" t="s">
        <v>3078</v>
      </c>
      <c r="D625" s="493" t="s">
        <v>3079</v>
      </c>
      <c r="E625" s="505">
        <v>0</v>
      </c>
      <c r="F625" s="505">
        <f t="shared" si="37"/>
        <v>0</v>
      </c>
      <c r="G625" s="505">
        <v>5853000</v>
      </c>
      <c r="H625" s="505">
        <f t="shared" si="38"/>
        <v>5853</v>
      </c>
      <c r="I625" s="505">
        <v>5853000</v>
      </c>
      <c r="J625" s="505">
        <f t="shared" si="39"/>
        <v>5853</v>
      </c>
      <c r="K625" s="506">
        <f t="shared" si="40"/>
        <v>1</v>
      </c>
    </row>
    <row r="626" spans="1:11" ht="21.9" customHeight="1">
      <c r="A626" s="1136" t="s">
        <v>3243</v>
      </c>
      <c r="B626" s="1130" t="s">
        <v>3244</v>
      </c>
      <c r="C626" s="493" t="s">
        <v>3185</v>
      </c>
      <c r="D626" s="493" t="s">
        <v>3186</v>
      </c>
      <c r="E626" s="505">
        <v>0</v>
      </c>
      <c r="F626" s="505">
        <f t="shared" si="37"/>
        <v>0</v>
      </c>
      <c r="G626" s="505">
        <v>12658035</v>
      </c>
      <c r="H626" s="505">
        <f t="shared" si="38"/>
        <v>12658.035</v>
      </c>
      <c r="I626" s="505">
        <v>12658035</v>
      </c>
      <c r="J626" s="505">
        <f t="shared" si="39"/>
        <v>12658.035</v>
      </c>
      <c r="K626" s="506">
        <f t="shared" si="40"/>
        <v>1</v>
      </c>
    </row>
    <row r="627" spans="1:11" ht="21.9" customHeight="1">
      <c r="A627" s="1136"/>
      <c r="B627" s="1130"/>
      <c r="C627" s="493" t="s">
        <v>3096</v>
      </c>
      <c r="D627" s="493" t="s">
        <v>3097</v>
      </c>
      <c r="E627" s="505">
        <v>35450000</v>
      </c>
      <c r="F627" s="505">
        <f t="shared" si="37"/>
        <v>35450</v>
      </c>
      <c r="G627" s="505">
        <v>262389877</v>
      </c>
      <c r="H627" s="505">
        <f t="shared" si="38"/>
        <v>262389.87699999998</v>
      </c>
      <c r="I627" s="505">
        <v>262386677</v>
      </c>
      <c r="J627" s="505">
        <f t="shared" si="39"/>
        <v>262386.67700000003</v>
      </c>
      <c r="K627" s="506">
        <f t="shared" si="40"/>
        <v>0.99998780440756108</v>
      </c>
    </row>
    <row r="628" spans="1:11" ht="21.9" customHeight="1">
      <c r="A628" s="1136"/>
      <c r="B628" s="1130"/>
      <c r="C628" s="493" t="s">
        <v>3098</v>
      </c>
      <c r="D628" s="493" t="s">
        <v>3099</v>
      </c>
      <c r="E628" s="505">
        <v>0</v>
      </c>
      <c r="F628" s="505">
        <f t="shared" si="37"/>
        <v>0</v>
      </c>
      <c r="G628" s="505">
        <v>7580765.7999999998</v>
      </c>
      <c r="H628" s="505">
        <f t="shared" si="38"/>
        <v>7580.7658000000001</v>
      </c>
      <c r="I628" s="505">
        <v>7580765.7999999998</v>
      </c>
      <c r="J628" s="505">
        <f t="shared" si="39"/>
        <v>7580.7658000000001</v>
      </c>
      <c r="K628" s="506">
        <f t="shared" si="40"/>
        <v>1</v>
      </c>
    </row>
    <row r="629" spans="1:11" ht="21.9" customHeight="1">
      <c r="A629" s="1136"/>
      <c r="B629" s="1130"/>
      <c r="C629" s="493" t="s">
        <v>3103</v>
      </c>
      <c r="D629" s="493" t="s">
        <v>3104</v>
      </c>
      <c r="E629" s="505">
        <v>15260000</v>
      </c>
      <c r="F629" s="505">
        <f t="shared" si="37"/>
        <v>15260</v>
      </c>
      <c r="G629" s="505">
        <v>34980817.259999998</v>
      </c>
      <c r="H629" s="505">
        <f t="shared" si="38"/>
        <v>34980.817259999996</v>
      </c>
      <c r="I629" s="505">
        <v>34566361.969999999</v>
      </c>
      <c r="J629" s="505">
        <f t="shared" si="39"/>
        <v>34566.361969999998</v>
      </c>
      <c r="K629" s="506">
        <f t="shared" si="40"/>
        <v>0.98815192661396389</v>
      </c>
    </row>
    <row r="630" spans="1:11" ht="21.9" customHeight="1">
      <c r="A630" s="1136" t="s">
        <v>3245</v>
      </c>
      <c r="B630" s="1130" t="s">
        <v>3246</v>
      </c>
      <c r="C630" s="493" t="s">
        <v>3185</v>
      </c>
      <c r="D630" s="493" t="s">
        <v>3186</v>
      </c>
      <c r="E630" s="505">
        <v>0</v>
      </c>
      <c r="F630" s="505">
        <f t="shared" si="37"/>
        <v>0</v>
      </c>
      <c r="G630" s="505">
        <v>50964956</v>
      </c>
      <c r="H630" s="505">
        <f t="shared" si="38"/>
        <v>50964.955999999998</v>
      </c>
      <c r="I630" s="505">
        <v>50964956</v>
      </c>
      <c r="J630" s="505">
        <f t="shared" si="39"/>
        <v>50964.955999999998</v>
      </c>
      <c r="K630" s="506">
        <f t="shared" si="40"/>
        <v>1</v>
      </c>
    </row>
    <row r="631" spans="1:11" ht="21.9" customHeight="1">
      <c r="A631" s="1136"/>
      <c r="B631" s="1130"/>
      <c r="C631" s="493" t="s">
        <v>3096</v>
      </c>
      <c r="D631" s="493" t="s">
        <v>3097</v>
      </c>
      <c r="E631" s="505">
        <v>74748000</v>
      </c>
      <c r="F631" s="505">
        <f t="shared" si="37"/>
        <v>74748</v>
      </c>
      <c r="G631" s="505">
        <v>532183318</v>
      </c>
      <c r="H631" s="505">
        <f t="shared" si="38"/>
        <v>532183.31799999997</v>
      </c>
      <c r="I631" s="505">
        <v>532176859</v>
      </c>
      <c r="J631" s="505">
        <f t="shared" si="39"/>
        <v>532176.85900000005</v>
      </c>
      <c r="K631" s="506">
        <f t="shared" si="40"/>
        <v>0.99998786320468613</v>
      </c>
    </row>
    <row r="632" spans="1:11" ht="21.9" customHeight="1">
      <c r="A632" s="1136" t="s">
        <v>3245</v>
      </c>
      <c r="B632" s="1130" t="s">
        <v>3246</v>
      </c>
      <c r="C632" s="493" t="s">
        <v>3098</v>
      </c>
      <c r="D632" s="493" t="s">
        <v>3099</v>
      </c>
      <c r="E632" s="505">
        <v>0</v>
      </c>
      <c r="F632" s="505">
        <f t="shared" si="37"/>
        <v>0</v>
      </c>
      <c r="G632" s="505">
        <v>9372790.9000000004</v>
      </c>
      <c r="H632" s="505">
        <f t="shared" si="38"/>
        <v>9372.7909</v>
      </c>
      <c r="I632" s="505">
        <v>9372790.9000000004</v>
      </c>
      <c r="J632" s="505">
        <f t="shared" si="39"/>
        <v>9372.7909</v>
      </c>
      <c r="K632" s="506">
        <f t="shared" si="40"/>
        <v>1</v>
      </c>
    </row>
    <row r="633" spans="1:11" ht="21.9" customHeight="1">
      <c r="A633" s="1136"/>
      <c r="B633" s="1130"/>
      <c r="C633" s="493" t="s">
        <v>3103</v>
      </c>
      <c r="D633" s="493" t="s">
        <v>3104</v>
      </c>
      <c r="E633" s="505">
        <v>20350000</v>
      </c>
      <c r="F633" s="505">
        <f t="shared" si="37"/>
        <v>20350</v>
      </c>
      <c r="G633" s="505">
        <v>36754249.630000003</v>
      </c>
      <c r="H633" s="505">
        <f t="shared" si="38"/>
        <v>36754.249630000006</v>
      </c>
      <c r="I633" s="505">
        <v>27009088.629999999</v>
      </c>
      <c r="J633" s="505">
        <f t="shared" si="39"/>
        <v>27009.088629999998</v>
      </c>
      <c r="K633" s="506">
        <f t="shared" si="40"/>
        <v>0.73485621123806888</v>
      </c>
    </row>
    <row r="634" spans="1:11" ht="21.9" customHeight="1">
      <c r="A634" s="1136" t="s">
        <v>3247</v>
      </c>
      <c r="B634" s="1130" t="s">
        <v>3248</v>
      </c>
      <c r="C634" s="493" t="s">
        <v>3185</v>
      </c>
      <c r="D634" s="493" t="s">
        <v>3186</v>
      </c>
      <c r="E634" s="505">
        <v>0</v>
      </c>
      <c r="F634" s="505">
        <f t="shared" si="37"/>
        <v>0</v>
      </c>
      <c r="G634" s="505">
        <v>14892</v>
      </c>
      <c r="H634" s="505">
        <f t="shared" si="38"/>
        <v>14.891999999999999</v>
      </c>
      <c r="I634" s="505">
        <v>8700</v>
      </c>
      <c r="J634" s="505">
        <f t="shared" si="39"/>
        <v>8.6999999999999993</v>
      </c>
      <c r="K634" s="506">
        <f t="shared" si="40"/>
        <v>0.58420628525382756</v>
      </c>
    </row>
    <row r="635" spans="1:11" ht="21.9" customHeight="1">
      <c r="A635" s="1136"/>
      <c r="B635" s="1130"/>
      <c r="C635" s="493" t="s">
        <v>3096</v>
      </c>
      <c r="D635" s="493" t="s">
        <v>3097</v>
      </c>
      <c r="E635" s="505">
        <v>100138000</v>
      </c>
      <c r="F635" s="505">
        <f t="shared" si="37"/>
        <v>100138</v>
      </c>
      <c r="G635" s="505">
        <v>568339143.44000006</v>
      </c>
      <c r="H635" s="505">
        <f t="shared" si="38"/>
        <v>568339.14344000001</v>
      </c>
      <c r="I635" s="505">
        <v>568339143.44000006</v>
      </c>
      <c r="J635" s="505">
        <f t="shared" si="39"/>
        <v>568339.14344000001</v>
      </c>
      <c r="K635" s="506">
        <f t="shared" si="40"/>
        <v>1</v>
      </c>
    </row>
    <row r="636" spans="1:11" ht="21.9" customHeight="1">
      <c r="A636" s="1136"/>
      <c r="B636" s="1130"/>
      <c r="C636" s="493" t="s">
        <v>3098</v>
      </c>
      <c r="D636" s="493" t="s">
        <v>3099</v>
      </c>
      <c r="E636" s="505">
        <v>0</v>
      </c>
      <c r="F636" s="505">
        <f t="shared" si="37"/>
        <v>0</v>
      </c>
      <c r="G636" s="505">
        <v>8109437.7999999998</v>
      </c>
      <c r="H636" s="505">
        <f t="shared" si="38"/>
        <v>8109.4377999999997</v>
      </c>
      <c r="I636" s="505">
        <v>8109437.7999999998</v>
      </c>
      <c r="J636" s="505">
        <f t="shared" si="39"/>
        <v>8109.4377999999997</v>
      </c>
      <c r="K636" s="506">
        <f t="shared" si="40"/>
        <v>1</v>
      </c>
    </row>
    <row r="637" spans="1:11" ht="21.9" customHeight="1">
      <c r="A637" s="1136"/>
      <c r="B637" s="1130"/>
      <c r="C637" s="493" t="s">
        <v>3103</v>
      </c>
      <c r="D637" s="493" t="s">
        <v>3104</v>
      </c>
      <c r="E637" s="505">
        <v>11460000</v>
      </c>
      <c r="F637" s="505">
        <f t="shared" si="37"/>
        <v>11460</v>
      </c>
      <c r="G637" s="505">
        <v>26861005</v>
      </c>
      <c r="H637" s="505">
        <f t="shared" si="38"/>
        <v>26861.005000000001</v>
      </c>
      <c r="I637" s="505">
        <v>26155005</v>
      </c>
      <c r="J637" s="505">
        <f t="shared" si="39"/>
        <v>26155.005000000001</v>
      </c>
      <c r="K637" s="506">
        <f t="shared" si="40"/>
        <v>0.97371654560207255</v>
      </c>
    </row>
    <row r="638" spans="1:11" ht="21.9" customHeight="1">
      <c r="A638" s="1136" t="s">
        <v>3468</v>
      </c>
      <c r="B638" s="1130" t="s">
        <v>3469</v>
      </c>
      <c r="C638" s="493" t="s">
        <v>3096</v>
      </c>
      <c r="D638" s="493" t="s">
        <v>3097</v>
      </c>
      <c r="E638" s="505">
        <v>2603000</v>
      </c>
      <c r="F638" s="505">
        <f t="shared" si="37"/>
        <v>2603</v>
      </c>
      <c r="G638" s="505">
        <v>18841000</v>
      </c>
      <c r="H638" s="505">
        <f t="shared" si="38"/>
        <v>18841</v>
      </c>
      <c r="I638" s="505">
        <v>18841000</v>
      </c>
      <c r="J638" s="505">
        <f t="shared" si="39"/>
        <v>18841</v>
      </c>
      <c r="K638" s="506">
        <f t="shared" si="40"/>
        <v>1</v>
      </c>
    </row>
    <row r="639" spans="1:11" ht="21.9" customHeight="1">
      <c r="A639" s="1136"/>
      <c r="B639" s="1130"/>
      <c r="C639" s="493" t="s">
        <v>3098</v>
      </c>
      <c r="D639" s="493" t="s">
        <v>3099</v>
      </c>
      <c r="E639" s="505">
        <v>0</v>
      </c>
      <c r="F639" s="505">
        <f t="shared" si="37"/>
        <v>0</v>
      </c>
      <c r="G639" s="505">
        <v>1095502.69</v>
      </c>
      <c r="H639" s="505">
        <f t="shared" si="38"/>
        <v>1095.50269</v>
      </c>
      <c r="I639" s="505">
        <v>1095502.69</v>
      </c>
      <c r="J639" s="505">
        <f t="shared" si="39"/>
        <v>1095.50269</v>
      </c>
      <c r="K639" s="506">
        <f t="shared" si="40"/>
        <v>1</v>
      </c>
    </row>
    <row r="640" spans="1:11" ht="21.9" customHeight="1">
      <c r="A640" s="1136"/>
      <c r="B640" s="1130"/>
      <c r="C640" s="493" t="s">
        <v>3103</v>
      </c>
      <c r="D640" s="493" t="s">
        <v>3104</v>
      </c>
      <c r="E640" s="505">
        <v>0</v>
      </c>
      <c r="F640" s="505">
        <f t="shared" si="37"/>
        <v>0</v>
      </c>
      <c r="G640" s="505">
        <v>320000</v>
      </c>
      <c r="H640" s="505">
        <f t="shared" si="38"/>
        <v>320</v>
      </c>
      <c r="I640" s="505">
        <v>320000</v>
      </c>
      <c r="J640" s="505">
        <f t="shared" si="39"/>
        <v>320</v>
      </c>
      <c r="K640" s="506">
        <f t="shared" si="40"/>
        <v>1</v>
      </c>
    </row>
    <row r="641" spans="1:11" ht="21.9" customHeight="1">
      <c r="A641" s="509" t="s">
        <v>3249</v>
      </c>
      <c r="B641" s="493" t="s">
        <v>3250</v>
      </c>
      <c r="C641" s="493" t="s">
        <v>3096</v>
      </c>
      <c r="D641" s="493" t="s">
        <v>3097</v>
      </c>
      <c r="E641" s="505">
        <v>2019000</v>
      </c>
      <c r="F641" s="505">
        <f t="shared" si="37"/>
        <v>2019</v>
      </c>
      <c r="G641" s="505">
        <v>2119000</v>
      </c>
      <c r="H641" s="505">
        <f t="shared" si="38"/>
        <v>2119</v>
      </c>
      <c r="I641" s="505">
        <v>2119000</v>
      </c>
      <c r="J641" s="505">
        <f t="shared" si="39"/>
        <v>2119</v>
      </c>
      <c r="K641" s="506">
        <f t="shared" si="40"/>
        <v>1</v>
      </c>
    </row>
    <row r="642" spans="1:11" ht="21.9" customHeight="1">
      <c r="A642" s="509" t="s">
        <v>3204</v>
      </c>
      <c r="B642" s="493" t="s">
        <v>3205</v>
      </c>
      <c r="C642" s="493" t="s">
        <v>3096</v>
      </c>
      <c r="D642" s="493" t="s">
        <v>3097</v>
      </c>
      <c r="E642" s="505">
        <v>2545000</v>
      </c>
      <c r="F642" s="505">
        <f t="shared" si="37"/>
        <v>2545</v>
      </c>
      <c r="G642" s="505">
        <v>27656488</v>
      </c>
      <c r="H642" s="505">
        <f t="shared" si="38"/>
        <v>27656.488000000001</v>
      </c>
      <c r="I642" s="505">
        <v>27656488</v>
      </c>
      <c r="J642" s="505">
        <f t="shared" si="39"/>
        <v>27656.488000000001</v>
      </c>
      <c r="K642" s="506">
        <f t="shared" si="40"/>
        <v>1</v>
      </c>
    </row>
    <row r="643" spans="1:11" ht="21.9" customHeight="1">
      <c r="A643" s="1136" t="s">
        <v>3470</v>
      </c>
      <c r="B643" s="1130" t="s">
        <v>3471</v>
      </c>
      <c r="C643" s="493" t="s">
        <v>3096</v>
      </c>
      <c r="D643" s="493" t="s">
        <v>3097</v>
      </c>
      <c r="E643" s="505">
        <v>4769000</v>
      </c>
      <c r="F643" s="505">
        <f t="shared" si="37"/>
        <v>4769</v>
      </c>
      <c r="G643" s="505">
        <v>27994712</v>
      </c>
      <c r="H643" s="505">
        <f t="shared" si="38"/>
        <v>27994.712</v>
      </c>
      <c r="I643" s="505">
        <v>27994712</v>
      </c>
      <c r="J643" s="505">
        <f t="shared" si="39"/>
        <v>27994.712</v>
      </c>
      <c r="K643" s="506">
        <f t="shared" si="40"/>
        <v>1</v>
      </c>
    </row>
    <row r="644" spans="1:11" ht="21.9" customHeight="1">
      <c r="A644" s="1136"/>
      <c r="B644" s="1130"/>
      <c r="C644" s="493" t="s">
        <v>3098</v>
      </c>
      <c r="D644" s="493" t="s">
        <v>3099</v>
      </c>
      <c r="E644" s="505">
        <v>0</v>
      </c>
      <c r="F644" s="505">
        <f t="shared" si="37"/>
        <v>0</v>
      </c>
      <c r="G644" s="505">
        <v>1571525.69</v>
      </c>
      <c r="H644" s="505">
        <f t="shared" si="38"/>
        <v>1571.5256899999999</v>
      </c>
      <c r="I644" s="505">
        <v>1571525.69</v>
      </c>
      <c r="J644" s="505">
        <f t="shared" si="39"/>
        <v>1571.5256899999999</v>
      </c>
      <c r="K644" s="506">
        <f t="shared" si="40"/>
        <v>1</v>
      </c>
    </row>
    <row r="645" spans="1:11" ht="21.9" customHeight="1">
      <c r="A645" s="509" t="s">
        <v>3312</v>
      </c>
      <c r="B645" s="493" t="s">
        <v>3313</v>
      </c>
      <c r="C645" s="493" t="s">
        <v>3078</v>
      </c>
      <c r="D645" s="493" t="s">
        <v>3079</v>
      </c>
      <c r="E645" s="505">
        <v>0</v>
      </c>
      <c r="F645" s="505">
        <f t="shared" si="37"/>
        <v>0</v>
      </c>
      <c r="G645" s="505">
        <v>10375000</v>
      </c>
      <c r="H645" s="505">
        <f t="shared" si="38"/>
        <v>10375</v>
      </c>
      <c r="I645" s="505">
        <v>10375000</v>
      </c>
      <c r="J645" s="505">
        <f t="shared" si="39"/>
        <v>10375</v>
      </c>
      <c r="K645" s="506">
        <f t="shared" si="40"/>
        <v>1</v>
      </c>
    </row>
    <row r="646" spans="1:11" ht="21.9" customHeight="1">
      <c r="A646" s="509" t="s">
        <v>3472</v>
      </c>
      <c r="B646" s="493" t="s">
        <v>3473</v>
      </c>
      <c r="C646" s="493" t="s">
        <v>3096</v>
      </c>
      <c r="D646" s="493" t="s">
        <v>3097</v>
      </c>
      <c r="E646" s="505">
        <v>3070000</v>
      </c>
      <c r="F646" s="505">
        <f t="shared" si="37"/>
        <v>3070</v>
      </c>
      <c r="G646" s="505">
        <v>22861000</v>
      </c>
      <c r="H646" s="505">
        <f t="shared" si="38"/>
        <v>22861</v>
      </c>
      <c r="I646" s="505">
        <v>22861000</v>
      </c>
      <c r="J646" s="505">
        <f t="shared" si="39"/>
        <v>22861</v>
      </c>
      <c r="K646" s="506">
        <f t="shared" si="40"/>
        <v>1</v>
      </c>
    </row>
    <row r="647" spans="1:11" ht="21.9" customHeight="1">
      <c r="A647" s="509" t="s">
        <v>3472</v>
      </c>
      <c r="B647" s="493" t="s">
        <v>3473</v>
      </c>
      <c r="C647" s="493" t="s">
        <v>3098</v>
      </c>
      <c r="D647" s="493" t="s">
        <v>3099</v>
      </c>
      <c r="E647" s="505">
        <v>0</v>
      </c>
      <c r="F647" s="505">
        <f t="shared" ref="F647:F710" si="41">E647/1000</f>
        <v>0</v>
      </c>
      <c r="G647" s="505">
        <v>4560635.55</v>
      </c>
      <c r="H647" s="505">
        <f t="shared" ref="H647:H710" si="42">G647/1000</f>
        <v>4560.63555</v>
      </c>
      <c r="I647" s="505">
        <v>4560635.55</v>
      </c>
      <c r="J647" s="505">
        <f t="shared" ref="J647:J710" si="43">I647/1000</f>
        <v>4560.63555</v>
      </c>
      <c r="K647" s="506">
        <f t="shared" si="40"/>
        <v>1</v>
      </c>
    </row>
    <row r="648" spans="1:11" ht="21.9" customHeight="1">
      <c r="A648" s="1136" t="s">
        <v>3474</v>
      </c>
      <c r="B648" s="1130" t="s">
        <v>3475</v>
      </c>
      <c r="C648" s="493" t="s">
        <v>3096</v>
      </c>
      <c r="D648" s="493" t="s">
        <v>3097</v>
      </c>
      <c r="E648" s="505">
        <v>13467000</v>
      </c>
      <c r="F648" s="505">
        <f t="shared" si="41"/>
        <v>13467</v>
      </c>
      <c r="G648" s="505">
        <v>17661000</v>
      </c>
      <c r="H648" s="505">
        <f t="shared" si="42"/>
        <v>17661</v>
      </c>
      <c r="I648" s="505">
        <v>17661000</v>
      </c>
      <c r="J648" s="505">
        <f t="shared" si="43"/>
        <v>17661</v>
      </c>
      <c r="K648" s="506">
        <f t="shared" si="40"/>
        <v>1</v>
      </c>
    </row>
    <row r="649" spans="1:11" ht="21.9" customHeight="1">
      <c r="A649" s="1136"/>
      <c r="B649" s="1130"/>
      <c r="C649" s="493" t="s">
        <v>3098</v>
      </c>
      <c r="D649" s="493" t="s">
        <v>3099</v>
      </c>
      <c r="E649" s="505">
        <v>0</v>
      </c>
      <c r="F649" s="505">
        <f t="shared" si="41"/>
        <v>0</v>
      </c>
      <c r="G649" s="505">
        <v>18506954.82</v>
      </c>
      <c r="H649" s="505">
        <f t="shared" si="42"/>
        <v>18506.954819999999</v>
      </c>
      <c r="I649" s="505">
        <v>18506954.82</v>
      </c>
      <c r="J649" s="505">
        <f t="shared" si="43"/>
        <v>18506.954819999999</v>
      </c>
      <c r="K649" s="506">
        <f t="shared" si="40"/>
        <v>1</v>
      </c>
    </row>
    <row r="650" spans="1:11" ht="21.9" customHeight="1">
      <c r="A650" s="1136"/>
      <c r="B650" s="1130"/>
      <c r="C650" s="493" t="s">
        <v>3103</v>
      </c>
      <c r="D650" s="493" t="s">
        <v>3104</v>
      </c>
      <c r="E650" s="505">
        <v>0</v>
      </c>
      <c r="F650" s="505">
        <f t="shared" si="41"/>
        <v>0</v>
      </c>
      <c r="G650" s="505">
        <v>726000</v>
      </c>
      <c r="H650" s="505">
        <f t="shared" si="42"/>
        <v>726</v>
      </c>
      <c r="I650" s="505">
        <v>726000</v>
      </c>
      <c r="J650" s="505">
        <f t="shared" si="43"/>
        <v>726</v>
      </c>
      <c r="K650" s="506">
        <f t="shared" si="40"/>
        <v>1</v>
      </c>
    </row>
    <row r="651" spans="1:11" ht="21.9" customHeight="1">
      <c r="A651" s="509" t="s">
        <v>3476</v>
      </c>
      <c r="B651" s="493" t="s">
        <v>3477</v>
      </c>
      <c r="C651" s="493" t="s">
        <v>3185</v>
      </c>
      <c r="D651" s="493" t="s">
        <v>3186</v>
      </c>
      <c r="E651" s="505">
        <v>0</v>
      </c>
      <c r="F651" s="505">
        <f t="shared" si="41"/>
        <v>0</v>
      </c>
      <c r="G651" s="505">
        <v>8838769</v>
      </c>
      <c r="H651" s="505">
        <f t="shared" si="42"/>
        <v>8838.7690000000002</v>
      </c>
      <c r="I651" s="505">
        <v>8838769</v>
      </c>
      <c r="J651" s="505">
        <f t="shared" si="43"/>
        <v>8838.7690000000002</v>
      </c>
      <c r="K651" s="506">
        <f t="shared" si="40"/>
        <v>1</v>
      </c>
    </row>
    <row r="652" spans="1:11" ht="21.9" customHeight="1">
      <c r="A652" s="1136" t="s">
        <v>3206</v>
      </c>
      <c r="B652" s="1130" t="s">
        <v>3207</v>
      </c>
      <c r="C652" s="493" t="s">
        <v>3185</v>
      </c>
      <c r="D652" s="493" t="s">
        <v>3186</v>
      </c>
      <c r="E652" s="505">
        <v>0</v>
      </c>
      <c r="F652" s="505">
        <f t="shared" si="41"/>
        <v>0</v>
      </c>
      <c r="G652" s="505">
        <v>985022</v>
      </c>
      <c r="H652" s="505">
        <f t="shared" si="42"/>
        <v>985.02200000000005</v>
      </c>
      <c r="I652" s="505">
        <v>985022</v>
      </c>
      <c r="J652" s="505">
        <f t="shared" si="43"/>
        <v>985.02200000000005</v>
      </c>
      <c r="K652" s="506">
        <f t="shared" si="40"/>
        <v>1</v>
      </c>
    </row>
    <row r="653" spans="1:11" ht="21.9" customHeight="1">
      <c r="A653" s="1136"/>
      <c r="B653" s="1130"/>
      <c r="C653" s="493" t="s">
        <v>3212</v>
      </c>
      <c r="D653" s="493" t="s">
        <v>3213</v>
      </c>
      <c r="E653" s="505">
        <v>0</v>
      </c>
      <c r="F653" s="505">
        <f t="shared" si="41"/>
        <v>0</v>
      </c>
      <c r="G653" s="505">
        <v>1369922</v>
      </c>
      <c r="H653" s="505">
        <f t="shared" si="42"/>
        <v>1369.922</v>
      </c>
      <c r="I653" s="505">
        <v>1369922</v>
      </c>
      <c r="J653" s="505">
        <f t="shared" si="43"/>
        <v>1369.922</v>
      </c>
      <c r="K653" s="506">
        <f t="shared" si="40"/>
        <v>1</v>
      </c>
    </row>
    <row r="654" spans="1:11" ht="21.9" customHeight="1">
      <c r="A654" s="1136"/>
      <c r="B654" s="1130"/>
      <c r="C654" s="493" t="s">
        <v>3078</v>
      </c>
      <c r="D654" s="493" t="s">
        <v>3079</v>
      </c>
      <c r="E654" s="505">
        <v>0</v>
      </c>
      <c r="F654" s="505">
        <f t="shared" si="41"/>
        <v>0</v>
      </c>
      <c r="G654" s="505">
        <v>87684000</v>
      </c>
      <c r="H654" s="505">
        <f t="shared" si="42"/>
        <v>87684</v>
      </c>
      <c r="I654" s="505">
        <v>87684000</v>
      </c>
      <c r="J654" s="505">
        <f t="shared" si="43"/>
        <v>87684</v>
      </c>
      <c r="K654" s="506">
        <f t="shared" si="40"/>
        <v>1</v>
      </c>
    </row>
    <row r="655" spans="1:11" ht="21.9" customHeight="1">
      <c r="A655" s="1136"/>
      <c r="B655" s="1130"/>
      <c r="C655" s="493" t="s">
        <v>3096</v>
      </c>
      <c r="D655" s="493" t="s">
        <v>3097</v>
      </c>
      <c r="E655" s="505">
        <v>0</v>
      </c>
      <c r="F655" s="505">
        <f t="shared" si="41"/>
        <v>0</v>
      </c>
      <c r="G655" s="505">
        <v>110380000</v>
      </c>
      <c r="H655" s="505">
        <f t="shared" si="42"/>
        <v>110380</v>
      </c>
      <c r="I655" s="505">
        <v>110380000</v>
      </c>
      <c r="J655" s="505">
        <f t="shared" si="43"/>
        <v>110380</v>
      </c>
      <c r="K655" s="506">
        <f t="shared" si="40"/>
        <v>1</v>
      </c>
    </row>
    <row r="656" spans="1:11" ht="21.9" customHeight="1">
      <c r="A656" s="1136"/>
      <c r="B656" s="1130"/>
      <c r="C656" s="493" t="s">
        <v>3103</v>
      </c>
      <c r="D656" s="493" t="s">
        <v>3104</v>
      </c>
      <c r="E656" s="505">
        <v>1400000</v>
      </c>
      <c r="F656" s="505">
        <f t="shared" si="41"/>
        <v>1400</v>
      </c>
      <c r="G656" s="505">
        <v>1650000</v>
      </c>
      <c r="H656" s="505">
        <f t="shared" si="42"/>
        <v>1650</v>
      </c>
      <c r="I656" s="505">
        <v>1650000</v>
      </c>
      <c r="J656" s="505">
        <f t="shared" si="43"/>
        <v>1650</v>
      </c>
      <c r="K656" s="506">
        <f t="shared" si="40"/>
        <v>1</v>
      </c>
    </row>
    <row r="657" spans="1:11" ht="21.9" customHeight="1">
      <c r="A657" s="1136" t="s">
        <v>3478</v>
      </c>
      <c r="B657" s="1130" t="s">
        <v>3479</v>
      </c>
      <c r="C657" s="493" t="s">
        <v>3072</v>
      </c>
      <c r="D657" s="493" t="s">
        <v>3073</v>
      </c>
      <c r="E657" s="505">
        <v>0</v>
      </c>
      <c r="F657" s="505">
        <f t="shared" si="41"/>
        <v>0</v>
      </c>
      <c r="G657" s="505">
        <v>29992.799999999999</v>
      </c>
      <c r="H657" s="505">
        <f t="shared" si="42"/>
        <v>29.992799999999999</v>
      </c>
      <c r="I657" s="505">
        <v>1647</v>
      </c>
      <c r="J657" s="505">
        <f t="shared" si="43"/>
        <v>1.647</v>
      </c>
      <c r="K657" s="506">
        <f t="shared" si="40"/>
        <v>5.4913179162999121E-2</v>
      </c>
    </row>
    <row r="658" spans="1:11" ht="21.9" customHeight="1">
      <c r="A658" s="1136"/>
      <c r="B658" s="1130"/>
      <c r="C658" s="493" t="s">
        <v>3156</v>
      </c>
      <c r="D658" s="493" t="s">
        <v>3157</v>
      </c>
      <c r="E658" s="505">
        <v>0</v>
      </c>
      <c r="F658" s="505">
        <f t="shared" si="41"/>
        <v>0</v>
      </c>
      <c r="G658" s="505">
        <v>89978.4</v>
      </c>
      <c r="H658" s="505">
        <f t="shared" si="42"/>
        <v>89.978399999999993</v>
      </c>
      <c r="I658" s="505">
        <v>0</v>
      </c>
      <c r="J658" s="505">
        <f t="shared" si="43"/>
        <v>0</v>
      </c>
      <c r="K658" s="506">
        <f t="shared" si="40"/>
        <v>0</v>
      </c>
    </row>
    <row r="659" spans="1:11" ht="21.9" customHeight="1">
      <c r="A659" s="1136"/>
      <c r="B659" s="1130"/>
      <c r="C659" s="493" t="s">
        <v>3406</v>
      </c>
      <c r="D659" s="493" t="s">
        <v>3407</v>
      </c>
      <c r="E659" s="505">
        <v>0</v>
      </c>
      <c r="F659" s="505">
        <f t="shared" si="41"/>
        <v>0</v>
      </c>
      <c r="G659" s="505">
        <v>59985.599999999999</v>
      </c>
      <c r="H659" s="505">
        <f t="shared" si="42"/>
        <v>59.985599999999998</v>
      </c>
      <c r="I659" s="505">
        <v>0</v>
      </c>
      <c r="J659" s="505">
        <f t="shared" si="43"/>
        <v>0</v>
      </c>
      <c r="K659" s="506">
        <f t="shared" si="40"/>
        <v>0</v>
      </c>
    </row>
    <row r="660" spans="1:11" ht="21.9" customHeight="1">
      <c r="A660" s="1136"/>
      <c r="B660" s="1130"/>
      <c r="C660" s="493" t="s">
        <v>3074</v>
      </c>
      <c r="D660" s="493" t="s">
        <v>3075</v>
      </c>
      <c r="E660" s="505">
        <v>0</v>
      </c>
      <c r="F660" s="505">
        <f t="shared" si="41"/>
        <v>0</v>
      </c>
      <c r="G660" s="505">
        <v>89978.4</v>
      </c>
      <c r="H660" s="505">
        <f t="shared" si="42"/>
        <v>89.978399999999993</v>
      </c>
      <c r="I660" s="505">
        <v>28400</v>
      </c>
      <c r="J660" s="505">
        <f t="shared" si="43"/>
        <v>28.4</v>
      </c>
      <c r="K660" s="506">
        <f t="shared" si="40"/>
        <v>0.31563130706925219</v>
      </c>
    </row>
    <row r="661" spans="1:11" ht="21.9" customHeight="1">
      <c r="A661" s="1136"/>
      <c r="B661" s="1130"/>
      <c r="C661" s="493" t="s">
        <v>3137</v>
      </c>
      <c r="D661" s="493" t="s">
        <v>3138</v>
      </c>
      <c r="E661" s="505">
        <v>0</v>
      </c>
      <c r="F661" s="505">
        <f t="shared" si="41"/>
        <v>0</v>
      </c>
      <c r="G661" s="505">
        <v>111191.47</v>
      </c>
      <c r="H661" s="505">
        <f t="shared" si="42"/>
        <v>111.19147</v>
      </c>
      <c r="I661" s="505">
        <v>84155</v>
      </c>
      <c r="J661" s="505">
        <f t="shared" si="43"/>
        <v>84.155000000000001</v>
      </c>
      <c r="K661" s="506">
        <f t="shared" si="40"/>
        <v>0.75684762509210468</v>
      </c>
    </row>
    <row r="662" spans="1:11" ht="21.9" customHeight="1">
      <c r="A662" s="1136"/>
      <c r="B662" s="1130"/>
      <c r="C662" s="493" t="s">
        <v>3076</v>
      </c>
      <c r="D662" s="493" t="s">
        <v>3077</v>
      </c>
      <c r="E662" s="505">
        <v>0</v>
      </c>
      <c r="F662" s="505">
        <f t="shared" si="41"/>
        <v>0</v>
      </c>
      <c r="G662" s="505">
        <v>29992.799999999999</v>
      </c>
      <c r="H662" s="505">
        <f t="shared" si="42"/>
        <v>29.992799999999999</v>
      </c>
      <c r="I662" s="505">
        <v>8907</v>
      </c>
      <c r="J662" s="505">
        <f t="shared" si="43"/>
        <v>8.907</v>
      </c>
      <c r="K662" s="506">
        <f t="shared" si="40"/>
        <v>0.29697127310554533</v>
      </c>
    </row>
    <row r="663" spans="1:11" ht="21.9" customHeight="1">
      <c r="A663" s="1136" t="s">
        <v>3382</v>
      </c>
      <c r="B663" s="1130" t="s">
        <v>3383</v>
      </c>
      <c r="C663" s="493" t="s">
        <v>3132</v>
      </c>
      <c r="D663" s="493" t="s">
        <v>1470</v>
      </c>
      <c r="E663" s="505">
        <v>0</v>
      </c>
      <c r="F663" s="505">
        <f t="shared" si="41"/>
        <v>0</v>
      </c>
      <c r="G663" s="505">
        <v>2324775</v>
      </c>
      <c r="H663" s="505">
        <f t="shared" si="42"/>
        <v>2324.7750000000001</v>
      </c>
      <c r="I663" s="505">
        <v>2324775</v>
      </c>
      <c r="J663" s="505">
        <f t="shared" si="43"/>
        <v>2324.7750000000001</v>
      </c>
      <c r="K663" s="506">
        <f t="shared" si="40"/>
        <v>1</v>
      </c>
    </row>
    <row r="664" spans="1:11" ht="21.9" customHeight="1">
      <c r="A664" s="1136"/>
      <c r="B664" s="1130"/>
      <c r="C664" s="493" t="s">
        <v>3115</v>
      </c>
      <c r="D664" s="493" t="s">
        <v>1492</v>
      </c>
      <c r="E664" s="505">
        <v>0</v>
      </c>
      <c r="F664" s="505">
        <f t="shared" si="41"/>
        <v>0</v>
      </c>
      <c r="G664" s="505">
        <v>354438</v>
      </c>
      <c r="H664" s="505">
        <f t="shared" si="42"/>
        <v>354.43799999999999</v>
      </c>
      <c r="I664" s="505">
        <v>354438</v>
      </c>
      <c r="J664" s="505">
        <f t="shared" si="43"/>
        <v>354.43799999999999</v>
      </c>
      <c r="K664" s="506">
        <f t="shared" si="40"/>
        <v>1</v>
      </c>
    </row>
    <row r="665" spans="1:11" ht="21.9" customHeight="1">
      <c r="A665" s="1136"/>
      <c r="B665" s="1130"/>
      <c r="C665" s="493" t="s">
        <v>3133</v>
      </c>
      <c r="D665" s="493" t="s">
        <v>3134</v>
      </c>
      <c r="E665" s="505">
        <v>0</v>
      </c>
      <c r="F665" s="505">
        <f t="shared" si="41"/>
        <v>0</v>
      </c>
      <c r="G665" s="505">
        <v>582823</v>
      </c>
      <c r="H665" s="505">
        <f t="shared" si="42"/>
        <v>582.82299999999998</v>
      </c>
      <c r="I665" s="505">
        <v>582823</v>
      </c>
      <c r="J665" s="505">
        <f t="shared" si="43"/>
        <v>582.82299999999998</v>
      </c>
      <c r="K665" s="506">
        <f t="shared" si="40"/>
        <v>1</v>
      </c>
    </row>
    <row r="666" spans="1:11" ht="21.9" customHeight="1">
      <c r="A666" s="1136"/>
      <c r="B666" s="1130"/>
      <c r="C666" s="493" t="s">
        <v>3135</v>
      </c>
      <c r="D666" s="493" t="s">
        <v>3136</v>
      </c>
      <c r="E666" s="505">
        <v>0</v>
      </c>
      <c r="F666" s="505">
        <f t="shared" si="41"/>
        <v>0</v>
      </c>
      <c r="G666" s="505">
        <v>209816</v>
      </c>
      <c r="H666" s="505">
        <f t="shared" si="42"/>
        <v>209.816</v>
      </c>
      <c r="I666" s="505">
        <v>209816</v>
      </c>
      <c r="J666" s="505">
        <f t="shared" si="43"/>
        <v>209.816</v>
      </c>
      <c r="K666" s="506">
        <f t="shared" si="40"/>
        <v>1</v>
      </c>
    </row>
    <row r="667" spans="1:11" ht="21.9" customHeight="1">
      <c r="A667" s="1136"/>
      <c r="B667" s="1130"/>
      <c r="C667" s="493" t="s">
        <v>3072</v>
      </c>
      <c r="D667" s="493" t="s">
        <v>3073</v>
      </c>
      <c r="E667" s="505">
        <v>0</v>
      </c>
      <c r="F667" s="505">
        <f t="shared" si="41"/>
        <v>0</v>
      </c>
      <c r="G667" s="505">
        <v>118122.8</v>
      </c>
      <c r="H667" s="505">
        <f t="shared" si="42"/>
        <v>118.1228</v>
      </c>
      <c r="I667" s="505">
        <v>53669.8</v>
      </c>
      <c r="J667" s="505">
        <f t="shared" si="43"/>
        <v>53.669800000000002</v>
      </c>
      <c r="K667" s="506">
        <f t="shared" si="40"/>
        <v>0.45435597530705335</v>
      </c>
    </row>
    <row r="668" spans="1:11" ht="21.9" customHeight="1">
      <c r="A668" s="1136"/>
      <c r="B668" s="1130"/>
      <c r="C668" s="493" t="s">
        <v>3154</v>
      </c>
      <c r="D668" s="493" t="s">
        <v>3155</v>
      </c>
      <c r="E668" s="505">
        <v>0</v>
      </c>
      <c r="F668" s="505">
        <f t="shared" si="41"/>
        <v>0</v>
      </c>
      <c r="G668" s="505">
        <v>837</v>
      </c>
      <c r="H668" s="505">
        <f t="shared" si="42"/>
        <v>0.83699999999999997</v>
      </c>
      <c r="I668" s="505">
        <v>837</v>
      </c>
      <c r="J668" s="505">
        <f t="shared" si="43"/>
        <v>0.83699999999999997</v>
      </c>
      <c r="K668" s="506">
        <f t="shared" ref="K668:K731" si="44">I668/G668</f>
        <v>1</v>
      </c>
    </row>
    <row r="669" spans="1:11" ht="21.9" customHeight="1">
      <c r="A669" s="1136"/>
      <c r="B669" s="1130"/>
      <c r="C669" s="493" t="s">
        <v>3156</v>
      </c>
      <c r="D669" s="493" t="s">
        <v>3157</v>
      </c>
      <c r="E669" s="505">
        <v>0</v>
      </c>
      <c r="F669" s="505">
        <f t="shared" si="41"/>
        <v>0</v>
      </c>
      <c r="G669" s="505">
        <v>12740</v>
      </c>
      <c r="H669" s="505">
        <f t="shared" si="42"/>
        <v>12.74</v>
      </c>
      <c r="I669" s="505">
        <v>12740</v>
      </c>
      <c r="J669" s="505">
        <f t="shared" si="43"/>
        <v>12.74</v>
      </c>
      <c r="K669" s="506">
        <f t="shared" si="44"/>
        <v>1</v>
      </c>
    </row>
    <row r="670" spans="1:11" ht="21.9" customHeight="1">
      <c r="A670" s="1136"/>
      <c r="B670" s="1130"/>
      <c r="C670" s="493" t="s">
        <v>3074</v>
      </c>
      <c r="D670" s="493" t="s">
        <v>3075</v>
      </c>
      <c r="E670" s="505">
        <v>0</v>
      </c>
      <c r="F670" s="505">
        <f t="shared" si="41"/>
        <v>0</v>
      </c>
      <c r="G670" s="505">
        <v>333408</v>
      </c>
      <c r="H670" s="505">
        <f t="shared" si="42"/>
        <v>333.40800000000002</v>
      </c>
      <c r="I670" s="505">
        <v>333408</v>
      </c>
      <c r="J670" s="505">
        <f t="shared" si="43"/>
        <v>333.40800000000002</v>
      </c>
      <c r="K670" s="506">
        <f t="shared" si="44"/>
        <v>1</v>
      </c>
    </row>
    <row r="671" spans="1:11" ht="21.9" customHeight="1">
      <c r="A671" s="1136"/>
      <c r="B671" s="1130"/>
      <c r="C671" s="493" t="s">
        <v>3076</v>
      </c>
      <c r="D671" s="493" t="s">
        <v>3077</v>
      </c>
      <c r="E671" s="505">
        <v>0</v>
      </c>
      <c r="F671" s="505">
        <f t="shared" si="41"/>
        <v>0</v>
      </c>
      <c r="G671" s="505">
        <v>26341.200000000001</v>
      </c>
      <c r="H671" s="505">
        <f t="shared" si="42"/>
        <v>26.341200000000001</v>
      </c>
      <c r="I671" s="505">
        <v>26341.200000000001</v>
      </c>
      <c r="J671" s="505">
        <f t="shared" si="43"/>
        <v>26.341200000000001</v>
      </c>
      <c r="K671" s="506">
        <f t="shared" si="44"/>
        <v>1</v>
      </c>
    </row>
    <row r="672" spans="1:11" ht="21.9" customHeight="1">
      <c r="A672" s="1136"/>
      <c r="B672" s="1130"/>
      <c r="C672" s="493" t="s">
        <v>3116</v>
      </c>
      <c r="D672" s="493" t="s">
        <v>3117</v>
      </c>
      <c r="E672" s="505">
        <v>0</v>
      </c>
      <c r="F672" s="505">
        <f t="shared" si="41"/>
        <v>0</v>
      </c>
      <c r="G672" s="505">
        <v>77051</v>
      </c>
      <c r="H672" s="505">
        <f t="shared" si="42"/>
        <v>77.051000000000002</v>
      </c>
      <c r="I672" s="505">
        <v>77051</v>
      </c>
      <c r="J672" s="505">
        <f t="shared" si="43"/>
        <v>77.051000000000002</v>
      </c>
      <c r="K672" s="506">
        <f t="shared" si="44"/>
        <v>1</v>
      </c>
    </row>
    <row r="673" spans="1:11" ht="21.9" customHeight="1">
      <c r="A673" s="1136"/>
      <c r="B673" s="1130"/>
      <c r="C673" s="493" t="s">
        <v>3416</v>
      </c>
      <c r="D673" s="493" t="s">
        <v>3417</v>
      </c>
      <c r="E673" s="505">
        <v>8400000</v>
      </c>
      <c r="F673" s="505">
        <f t="shared" si="41"/>
        <v>8400</v>
      </c>
      <c r="G673" s="505">
        <v>2212698.17</v>
      </c>
      <c r="H673" s="505">
        <f t="shared" si="42"/>
        <v>2212.6981700000001</v>
      </c>
      <c r="I673" s="505">
        <v>0</v>
      </c>
      <c r="J673" s="505">
        <f t="shared" si="43"/>
        <v>0</v>
      </c>
      <c r="K673" s="506">
        <f t="shared" si="44"/>
        <v>0</v>
      </c>
    </row>
    <row r="674" spans="1:11" ht="21.9" customHeight="1">
      <c r="A674" s="1136"/>
      <c r="B674" s="1130"/>
      <c r="C674" s="493" t="s">
        <v>3185</v>
      </c>
      <c r="D674" s="493" t="s">
        <v>3186</v>
      </c>
      <c r="E674" s="505">
        <v>0</v>
      </c>
      <c r="F674" s="505">
        <f t="shared" si="41"/>
        <v>0</v>
      </c>
      <c r="G674" s="505">
        <v>6636252.9299999997</v>
      </c>
      <c r="H674" s="505">
        <f t="shared" si="42"/>
        <v>6636.2529299999997</v>
      </c>
      <c r="I674" s="505">
        <v>6491457.9299999997</v>
      </c>
      <c r="J674" s="505">
        <f t="shared" si="43"/>
        <v>6491.4579299999996</v>
      </c>
      <c r="K674" s="506">
        <f t="shared" si="44"/>
        <v>0.97818121136621594</v>
      </c>
    </row>
    <row r="675" spans="1:11" ht="21.9" customHeight="1">
      <c r="A675" s="1136"/>
      <c r="B675" s="1130"/>
      <c r="C675" s="493" t="s">
        <v>3212</v>
      </c>
      <c r="D675" s="493" t="s">
        <v>3213</v>
      </c>
      <c r="E675" s="505">
        <v>0</v>
      </c>
      <c r="F675" s="505">
        <f t="shared" si="41"/>
        <v>0</v>
      </c>
      <c r="G675" s="505">
        <v>5702849.2000000002</v>
      </c>
      <c r="H675" s="505">
        <f t="shared" si="42"/>
        <v>5702.8492000000006</v>
      </c>
      <c r="I675" s="505">
        <v>5702849.2000000002</v>
      </c>
      <c r="J675" s="505">
        <f t="shared" si="43"/>
        <v>5702.8492000000006</v>
      </c>
      <c r="K675" s="506">
        <f t="shared" si="44"/>
        <v>1</v>
      </c>
    </row>
    <row r="676" spans="1:11" ht="21.9" customHeight="1">
      <c r="A676" s="1136"/>
      <c r="B676" s="1130"/>
      <c r="C676" s="493" t="s">
        <v>3124</v>
      </c>
      <c r="D676" s="493" t="s">
        <v>3125</v>
      </c>
      <c r="E676" s="505">
        <v>0</v>
      </c>
      <c r="F676" s="505">
        <f t="shared" si="41"/>
        <v>0</v>
      </c>
      <c r="G676" s="505">
        <v>9846108.5700000003</v>
      </c>
      <c r="H676" s="505">
        <f t="shared" si="42"/>
        <v>9846.1085700000003</v>
      </c>
      <c r="I676" s="505">
        <v>9834108.5700000003</v>
      </c>
      <c r="J676" s="505">
        <f t="shared" si="43"/>
        <v>9834.1085700000003</v>
      </c>
      <c r="K676" s="506">
        <f t="shared" si="44"/>
        <v>0.99878124439572369</v>
      </c>
    </row>
    <row r="677" spans="1:11" ht="21.9" customHeight="1">
      <c r="A677" s="1136" t="s">
        <v>3382</v>
      </c>
      <c r="B677" s="1130" t="s">
        <v>3383</v>
      </c>
      <c r="C677" s="493" t="s">
        <v>3078</v>
      </c>
      <c r="D677" s="493" t="s">
        <v>3079</v>
      </c>
      <c r="E677" s="505">
        <v>0</v>
      </c>
      <c r="F677" s="505">
        <f t="shared" si="41"/>
        <v>0</v>
      </c>
      <c r="G677" s="505">
        <v>9305713.8699999992</v>
      </c>
      <c r="H677" s="505">
        <f t="shared" si="42"/>
        <v>9305.7138699999996</v>
      </c>
      <c r="I677" s="505">
        <v>9305713.8699999992</v>
      </c>
      <c r="J677" s="505">
        <f t="shared" si="43"/>
        <v>9305.7138699999996</v>
      </c>
      <c r="K677" s="506">
        <f t="shared" si="44"/>
        <v>1</v>
      </c>
    </row>
    <row r="678" spans="1:11" ht="21.9" customHeight="1">
      <c r="A678" s="1136"/>
      <c r="B678" s="1130"/>
      <c r="C678" s="493" t="s">
        <v>3082</v>
      </c>
      <c r="D678" s="493" t="s">
        <v>3083</v>
      </c>
      <c r="E678" s="505">
        <v>0</v>
      </c>
      <c r="F678" s="505">
        <f t="shared" si="41"/>
        <v>0</v>
      </c>
      <c r="G678" s="505">
        <v>19027347.93</v>
      </c>
      <c r="H678" s="505">
        <f t="shared" si="42"/>
        <v>19027.34793</v>
      </c>
      <c r="I678" s="505">
        <v>19027347.93</v>
      </c>
      <c r="J678" s="505">
        <f t="shared" si="43"/>
        <v>19027.34793</v>
      </c>
      <c r="K678" s="506">
        <f t="shared" si="44"/>
        <v>1</v>
      </c>
    </row>
    <row r="679" spans="1:11" ht="21.9" customHeight="1">
      <c r="A679" s="1136"/>
      <c r="B679" s="1130"/>
      <c r="C679" s="493" t="s">
        <v>3096</v>
      </c>
      <c r="D679" s="493" t="s">
        <v>3097</v>
      </c>
      <c r="E679" s="505">
        <v>0</v>
      </c>
      <c r="F679" s="505">
        <f t="shared" si="41"/>
        <v>0</v>
      </c>
      <c r="G679" s="505">
        <v>56500</v>
      </c>
      <c r="H679" s="505">
        <f t="shared" si="42"/>
        <v>56.5</v>
      </c>
      <c r="I679" s="505">
        <v>0</v>
      </c>
      <c r="J679" s="505">
        <f t="shared" si="43"/>
        <v>0</v>
      </c>
      <c r="K679" s="506">
        <f t="shared" si="44"/>
        <v>0</v>
      </c>
    </row>
    <row r="680" spans="1:11" ht="21.9" customHeight="1">
      <c r="A680" s="1136"/>
      <c r="B680" s="1130"/>
      <c r="C680" s="493" t="s">
        <v>3084</v>
      </c>
      <c r="D680" s="493" t="s">
        <v>3085</v>
      </c>
      <c r="E680" s="505">
        <v>0</v>
      </c>
      <c r="F680" s="505">
        <f t="shared" si="41"/>
        <v>0</v>
      </c>
      <c r="G680" s="505">
        <v>8348962.6100000003</v>
      </c>
      <c r="H680" s="505">
        <f t="shared" si="42"/>
        <v>8348.9626100000005</v>
      </c>
      <c r="I680" s="505">
        <v>8348962.6100000003</v>
      </c>
      <c r="J680" s="505">
        <f t="shared" si="43"/>
        <v>8348.9626100000005</v>
      </c>
      <c r="K680" s="506">
        <f t="shared" si="44"/>
        <v>1</v>
      </c>
    </row>
    <row r="681" spans="1:11" ht="21.9" customHeight="1">
      <c r="A681" s="1136"/>
      <c r="B681" s="1130"/>
      <c r="C681" s="493" t="s">
        <v>3189</v>
      </c>
      <c r="D681" s="493" t="s">
        <v>3190</v>
      </c>
      <c r="E681" s="505">
        <v>0</v>
      </c>
      <c r="F681" s="505">
        <f t="shared" si="41"/>
        <v>0</v>
      </c>
      <c r="G681" s="505">
        <v>69520237.420000002</v>
      </c>
      <c r="H681" s="505">
        <f t="shared" si="42"/>
        <v>69520.237420000005</v>
      </c>
      <c r="I681" s="505">
        <v>0</v>
      </c>
      <c r="J681" s="505">
        <f t="shared" si="43"/>
        <v>0</v>
      </c>
      <c r="K681" s="506">
        <f t="shared" si="44"/>
        <v>0</v>
      </c>
    </row>
    <row r="682" spans="1:11" ht="21.9" customHeight="1">
      <c r="A682" s="1136"/>
      <c r="B682" s="1130"/>
      <c r="C682" s="493" t="s">
        <v>3088</v>
      </c>
      <c r="D682" s="493" t="s">
        <v>3089</v>
      </c>
      <c r="E682" s="505">
        <v>0</v>
      </c>
      <c r="F682" s="505">
        <f t="shared" si="41"/>
        <v>0</v>
      </c>
      <c r="G682" s="505">
        <v>1199345</v>
      </c>
      <c r="H682" s="505">
        <f t="shared" si="42"/>
        <v>1199.345</v>
      </c>
      <c r="I682" s="505">
        <v>1199345</v>
      </c>
      <c r="J682" s="505">
        <f t="shared" si="43"/>
        <v>1199.345</v>
      </c>
      <c r="K682" s="506">
        <f t="shared" si="44"/>
        <v>1</v>
      </c>
    </row>
    <row r="683" spans="1:11" ht="21.9" customHeight="1">
      <c r="A683" s="1136"/>
      <c r="B683" s="1130"/>
      <c r="C683" s="493" t="s">
        <v>3202</v>
      </c>
      <c r="D683" s="493" t="s">
        <v>3203</v>
      </c>
      <c r="E683" s="505">
        <v>0</v>
      </c>
      <c r="F683" s="505">
        <f t="shared" si="41"/>
        <v>0</v>
      </c>
      <c r="G683" s="505">
        <v>11753082</v>
      </c>
      <c r="H683" s="505">
        <f t="shared" si="42"/>
        <v>11753.082</v>
      </c>
      <c r="I683" s="505">
        <v>0</v>
      </c>
      <c r="J683" s="505">
        <f t="shared" si="43"/>
        <v>0</v>
      </c>
      <c r="K683" s="506">
        <f t="shared" si="44"/>
        <v>0</v>
      </c>
    </row>
    <row r="684" spans="1:11" ht="21.9" customHeight="1">
      <c r="A684" s="509" t="s">
        <v>3210</v>
      </c>
      <c r="B684" s="493" t="s">
        <v>3211</v>
      </c>
      <c r="C684" s="493" t="s">
        <v>3124</v>
      </c>
      <c r="D684" s="493" t="s">
        <v>3125</v>
      </c>
      <c r="E684" s="505">
        <v>0</v>
      </c>
      <c r="F684" s="505">
        <f t="shared" si="41"/>
        <v>0</v>
      </c>
      <c r="G684" s="505">
        <v>200000</v>
      </c>
      <c r="H684" s="505">
        <f t="shared" si="42"/>
        <v>200</v>
      </c>
      <c r="I684" s="505">
        <v>200000</v>
      </c>
      <c r="J684" s="505">
        <f t="shared" si="43"/>
        <v>200</v>
      </c>
      <c r="K684" s="506">
        <f t="shared" si="44"/>
        <v>1</v>
      </c>
    </row>
    <row r="685" spans="1:11" ht="21.9" customHeight="1">
      <c r="A685" s="509" t="s">
        <v>3220</v>
      </c>
      <c r="B685" s="493" t="s">
        <v>3221</v>
      </c>
      <c r="C685" s="493" t="s">
        <v>3212</v>
      </c>
      <c r="D685" s="493" t="s">
        <v>3213</v>
      </c>
      <c r="E685" s="505">
        <v>0</v>
      </c>
      <c r="F685" s="505">
        <f t="shared" si="41"/>
        <v>0</v>
      </c>
      <c r="G685" s="505">
        <v>4000000</v>
      </c>
      <c r="H685" s="505">
        <f t="shared" si="42"/>
        <v>4000</v>
      </c>
      <c r="I685" s="505">
        <v>4000000</v>
      </c>
      <c r="J685" s="505">
        <f t="shared" si="43"/>
        <v>4000</v>
      </c>
      <c r="K685" s="506">
        <f t="shared" si="44"/>
        <v>1</v>
      </c>
    </row>
    <row r="686" spans="1:11" ht="21.9" customHeight="1">
      <c r="A686" s="1136" t="s">
        <v>3234</v>
      </c>
      <c r="B686" s="1130" t="s">
        <v>3235</v>
      </c>
      <c r="C686" s="493" t="s">
        <v>3185</v>
      </c>
      <c r="D686" s="493" t="s">
        <v>3186</v>
      </c>
      <c r="E686" s="505">
        <v>0</v>
      </c>
      <c r="F686" s="505">
        <f t="shared" si="41"/>
        <v>0</v>
      </c>
      <c r="G686" s="505">
        <v>80000</v>
      </c>
      <c r="H686" s="505">
        <f t="shared" si="42"/>
        <v>80</v>
      </c>
      <c r="I686" s="505">
        <v>80000</v>
      </c>
      <c r="J686" s="505">
        <f t="shared" si="43"/>
        <v>80</v>
      </c>
      <c r="K686" s="506">
        <f t="shared" si="44"/>
        <v>1</v>
      </c>
    </row>
    <row r="687" spans="1:11" ht="21.9" customHeight="1">
      <c r="A687" s="1136"/>
      <c r="B687" s="1130"/>
      <c r="C687" s="493" t="s">
        <v>3124</v>
      </c>
      <c r="D687" s="493" t="s">
        <v>3125</v>
      </c>
      <c r="E687" s="505">
        <v>0</v>
      </c>
      <c r="F687" s="505">
        <f t="shared" si="41"/>
        <v>0</v>
      </c>
      <c r="G687" s="505">
        <v>15000</v>
      </c>
      <c r="H687" s="505">
        <f t="shared" si="42"/>
        <v>15</v>
      </c>
      <c r="I687" s="505">
        <v>15000</v>
      </c>
      <c r="J687" s="505">
        <f t="shared" si="43"/>
        <v>15</v>
      </c>
      <c r="K687" s="506">
        <f t="shared" si="44"/>
        <v>1</v>
      </c>
    </row>
    <row r="688" spans="1:11" ht="21.9" customHeight="1">
      <c r="A688" s="509" t="s">
        <v>3318</v>
      </c>
      <c r="B688" s="493" t="s">
        <v>3319</v>
      </c>
      <c r="C688" s="493" t="s">
        <v>3088</v>
      </c>
      <c r="D688" s="493" t="s">
        <v>3089</v>
      </c>
      <c r="E688" s="505">
        <v>0</v>
      </c>
      <c r="F688" s="505">
        <f t="shared" si="41"/>
        <v>0</v>
      </c>
      <c r="G688" s="505">
        <v>4807000</v>
      </c>
      <c r="H688" s="505">
        <f t="shared" si="42"/>
        <v>4807</v>
      </c>
      <c r="I688" s="505">
        <v>3451946</v>
      </c>
      <c r="J688" s="505">
        <f t="shared" si="43"/>
        <v>3451.9459999999999</v>
      </c>
      <c r="K688" s="506">
        <f t="shared" si="44"/>
        <v>0.71810817557728313</v>
      </c>
    </row>
    <row r="689" spans="1:11" ht="21.9" customHeight="1">
      <c r="A689" s="1136" t="s">
        <v>3266</v>
      </c>
      <c r="B689" s="1130" t="s">
        <v>3267</v>
      </c>
      <c r="C689" s="493" t="s">
        <v>3115</v>
      </c>
      <c r="D689" s="493" t="s">
        <v>1492</v>
      </c>
      <c r="E689" s="505">
        <v>0</v>
      </c>
      <c r="F689" s="505">
        <f t="shared" si="41"/>
        <v>0</v>
      </c>
      <c r="G689" s="505">
        <v>125308</v>
      </c>
      <c r="H689" s="505">
        <f t="shared" si="42"/>
        <v>125.30800000000001</v>
      </c>
      <c r="I689" s="505">
        <v>125308</v>
      </c>
      <c r="J689" s="505">
        <f t="shared" si="43"/>
        <v>125.30800000000001</v>
      </c>
      <c r="K689" s="506">
        <f t="shared" si="44"/>
        <v>1</v>
      </c>
    </row>
    <row r="690" spans="1:11" ht="21.9" customHeight="1">
      <c r="A690" s="1148"/>
      <c r="B690" s="1149"/>
      <c r="C690" s="493" t="s">
        <v>3072</v>
      </c>
      <c r="D690" s="493" t="s">
        <v>3073</v>
      </c>
      <c r="E690" s="505">
        <v>0</v>
      </c>
      <c r="F690" s="505">
        <f t="shared" si="41"/>
        <v>0</v>
      </c>
      <c r="G690" s="505">
        <v>185577</v>
      </c>
      <c r="H690" s="505">
        <f t="shared" si="42"/>
        <v>185.577</v>
      </c>
      <c r="I690" s="505">
        <v>185577</v>
      </c>
      <c r="J690" s="505">
        <f t="shared" si="43"/>
        <v>185.577</v>
      </c>
      <c r="K690" s="506">
        <f t="shared" si="44"/>
        <v>1</v>
      </c>
    </row>
    <row r="691" spans="1:11" ht="21.9" customHeight="1">
      <c r="A691" s="1148"/>
      <c r="B691" s="1149"/>
      <c r="C691" s="493" t="s">
        <v>3152</v>
      </c>
      <c r="D691" s="493" t="s">
        <v>3153</v>
      </c>
      <c r="E691" s="505">
        <v>0</v>
      </c>
      <c r="F691" s="505">
        <f t="shared" si="41"/>
        <v>0</v>
      </c>
      <c r="G691" s="505">
        <v>5850</v>
      </c>
      <c r="H691" s="505">
        <f t="shared" si="42"/>
        <v>5.85</v>
      </c>
      <c r="I691" s="505">
        <v>5850</v>
      </c>
      <c r="J691" s="505">
        <f t="shared" si="43"/>
        <v>5.85</v>
      </c>
      <c r="K691" s="506">
        <f t="shared" si="44"/>
        <v>1</v>
      </c>
    </row>
    <row r="692" spans="1:11" ht="21.9" customHeight="1">
      <c r="A692" s="1148"/>
      <c r="B692" s="1149"/>
      <c r="C692" s="493" t="s">
        <v>3074</v>
      </c>
      <c r="D692" s="493" t="s">
        <v>3075</v>
      </c>
      <c r="E692" s="505">
        <v>0</v>
      </c>
      <c r="F692" s="505">
        <f t="shared" si="41"/>
        <v>0</v>
      </c>
      <c r="G692" s="505">
        <v>375358</v>
      </c>
      <c r="H692" s="505">
        <f t="shared" si="42"/>
        <v>375.358</v>
      </c>
      <c r="I692" s="505">
        <v>375358</v>
      </c>
      <c r="J692" s="505">
        <f t="shared" si="43"/>
        <v>375.358</v>
      </c>
      <c r="K692" s="506">
        <f t="shared" si="44"/>
        <v>1</v>
      </c>
    </row>
    <row r="693" spans="1:11" ht="21.9" customHeight="1">
      <c r="A693" s="1136" t="s">
        <v>3266</v>
      </c>
      <c r="B693" s="1130" t="s">
        <v>3267</v>
      </c>
      <c r="C693" s="493" t="s">
        <v>3139</v>
      </c>
      <c r="D693" s="493" t="s">
        <v>3140</v>
      </c>
      <c r="E693" s="505">
        <v>764000</v>
      </c>
      <c r="F693" s="505">
        <f t="shared" si="41"/>
        <v>764</v>
      </c>
      <c r="G693" s="505">
        <v>35107</v>
      </c>
      <c r="H693" s="505">
        <f t="shared" si="42"/>
        <v>35.106999999999999</v>
      </c>
      <c r="I693" s="505">
        <v>0</v>
      </c>
      <c r="J693" s="505">
        <f t="shared" si="43"/>
        <v>0</v>
      </c>
      <c r="K693" s="506">
        <f t="shared" si="44"/>
        <v>0</v>
      </c>
    </row>
    <row r="694" spans="1:11" ht="21.9" customHeight="1">
      <c r="A694" s="1148"/>
      <c r="B694" s="1149"/>
      <c r="C694" s="493" t="s">
        <v>3116</v>
      </c>
      <c r="D694" s="493" t="s">
        <v>3117</v>
      </c>
      <c r="E694" s="505">
        <v>0</v>
      </c>
      <c r="F694" s="505">
        <f t="shared" si="41"/>
        <v>0</v>
      </c>
      <c r="G694" s="505">
        <v>6800</v>
      </c>
      <c r="H694" s="505">
        <f t="shared" si="42"/>
        <v>6.8</v>
      </c>
      <c r="I694" s="505">
        <v>6400</v>
      </c>
      <c r="J694" s="505">
        <f t="shared" si="43"/>
        <v>6.4</v>
      </c>
      <c r="K694" s="506">
        <f t="shared" si="44"/>
        <v>0.94117647058823528</v>
      </c>
    </row>
    <row r="695" spans="1:11" ht="21.9" customHeight="1">
      <c r="A695" s="1148"/>
      <c r="B695" s="1149"/>
      <c r="C695" s="493" t="s">
        <v>3183</v>
      </c>
      <c r="D695" s="493" t="s">
        <v>3184</v>
      </c>
      <c r="E695" s="505">
        <v>0</v>
      </c>
      <c r="F695" s="505">
        <f t="shared" si="41"/>
        <v>0</v>
      </c>
      <c r="G695" s="505">
        <v>490000</v>
      </c>
      <c r="H695" s="505">
        <f t="shared" si="42"/>
        <v>490</v>
      </c>
      <c r="I695" s="505">
        <v>490000</v>
      </c>
      <c r="J695" s="505">
        <f t="shared" si="43"/>
        <v>490</v>
      </c>
      <c r="K695" s="506">
        <f t="shared" si="44"/>
        <v>1</v>
      </c>
    </row>
    <row r="696" spans="1:11" ht="21.9" customHeight="1">
      <c r="A696" s="1148"/>
      <c r="B696" s="1149"/>
      <c r="C696" s="493" t="s">
        <v>3185</v>
      </c>
      <c r="D696" s="493" t="s">
        <v>3186</v>
      </c>
      <c r="E696" s="505">
        <v>0</v>
      </c>
      <c r="F696" s="505">
        <f t="shared" si="41"/>
        <v>0</v>
      </c>
      <c r="G696" s="505">
        <v>3215000</v>
      </c>
      <c r="H696" s="505">
        <f t="shared" si="42"/>
        <v>3215</v>
      </c>
      <c r="I696" s="505">
        <v>3215000</v>
      </c>
      <c r="J696" s="505">
        <f t="shared" si="43"/>
        <v>3215</v>
      </c>
      <c r="K696" s="506">
        <f t="shared" si="44"/>
        <v>1</v>
      </c>
    </row>
    <row r="697" spans="1:11" ht="21.9" customHeight="1">
      <c r="A697" s="1148"/>
      <c r="B697" s="1149"/>
      <c r="C697" s="493" t="s">
        <v>3124</v>
      </c>
      <c r="D697" s="493" t="s">
        <v>3125</v>
      </c>
      <c r="E697" s="505">
        <v>1436000</v>
      </c>
      <c r="F697" s="505">
        <f t="shared" si="41"/>
        <v>1436</v>
      </c>
      <c r="G697" s="505">
        <v>7652000</v>
      </c>
      <c r="H697" s="505">
        <f t="shared" si="42"/>
        <v>7652</v>
      </c>
      <c r="I697" s="505">
        <v>7594000</v>
      </c>
      <c r="J697" s="505">
        <f t="shared" si="43"/>
        <v>7594</v>
      </c>
      <c r="K697" s="506">
        <f t="shared" si="44"/>
        <v>0.9924202822791427</v>
      </c>
    </row>
    <row r="698" spans="1:11" ht="21.9" customHeight="1">
      <c r="A698" s="1148"/>
      <c r="B698" s="1149"/>
      <c r="C698" s="493" t="s">
        <v>3214</v>
      </c>
      <c r="D698" s="493" t="s">
        <v>3215</v>
      </c>
      <c r="E698" s="505">
        <v>0</v>
      </c>
      <c r="F698" s="505">
        <f t="shared" si="41"/>
        <v>0</v>
      </c>
      <c r="G698" s="505">
        <v>10000</v>
      </c>
      <c r="H698" s="505">
        <f t="shared" si="42"/>
        <v>10</v>
      </c>
      <c r="I698" s="505">
        <v>10000</v>
      </c>
      <c r="J698" s="505">
        <f t="shared" si="43"/>
        <v>10</v>
      </c>
      <c r="K698" s="506">
        <f t="shared" si="44"/>
        <v>1</v>
      </c>
    </row>
    <row r="699" spans="1:11" ht="21.9" customHeight="1">
      <c r="A699" s="1148"/>
      <c r="B699" s="1149"/>
      <c r="C699" s="493" t="s">
        <v>3082</v>
      </c>
      <c r="D699" s="493" t="s">
        <v>3083</v>
      </c>
      <c r="E699" s="505">
        <v>0</v>
      </c>
      <c r="F699" s="505">
        <f t="shared" si="41"/>
        <v>0</v>
      </c>
      <c r="G699" s="505">
        <v>74000</v>
      </c>
      <c r="H699" s="505">
        <f t="shared" si="42"/>
        <v>74</v>
      </c>
      <c r="I699" s="505">
        <v>74000</v>
      </c>
      <c r="J699" s="505">
        <f t="shared" si="43"/>
        <v>74</v>
      </c>
      <c r="K699" s="506">
        <f t="shared" si="44"/>
        <v>1</v>
      </c>
    </row>
    <row r="700" spans="1:11" ht="21.9" customHeight="1">
      <c r="A700" s="1148"/>
      <c r="B700" s="1149"/>
      <c r="C700" s="493" t="s">
        <v>3187</v>
      </c>
      <c r="D700" s="493" t="s">
        <v>3188</v>
      </c>
      <c r="E700" s="505">
        <v>0</v>
      </c>
      <c r="F700" s="505">
        <f t="shared" si="41"/>
        <v>0</v>
      </c>
      <c r="G700" s="505">
        <v>55000</v>
      </c>
      <c r="H700" s="505">
        <f t="shared" si="42"/>
        <v>55</v>
      </c>
      <c r="I700" s="505">
        <v>55000</v>
      </c>
      <c r="J700" s="505">
        <f t="shared" si="43"/>
        <v>55</v>
      </c>
      <c r="K700" s="506">
        <f t="shared" si="44"/>
        <v>1</v>
      </c>
    </row>
    <row r="701" spans="1:11" ht="21.9" customHeight="1">
      <c r="A701" s="1148"/>
      <c r="B701" s="1149"/>
      <c r="C701" s="493" t="s">
        <v>3198</v>
      </c>
      <c r="D701" s="493" t="s">
        <v>3199</v>
      </c>
      <c r="E701" s="505">
        <v>8500000</v>
      </c>
      <c r="F701" s="505">
        <f t="shared" si="41"/>
        <v>8500</v>
      </c>
      <c r="G701" s="505">
        <v>3193000</v>
      </c>
      <c r="H701" s="505">
        <f t="shared" si="42"/>
        <v>3193</v>
      </c>
      <c r="I701" s="505">
        <v>3192992</v>
      </c>
      <c r="J701" s="505">
        <f t="shared" si="43"/>
        <v>3192.9920000000002</v>
      </c>
      <c r="K701" s="506">
        <f t="shared" si="44"/>
        <v>0.9999974945192609</v>
      </c>
    </row>
    <row r="702" spans="1:11" ht="21.9" customHeight="1">
      <c r="A702" s="1136" t="s">
        <v>3320</v>
      </c>
      <c r="B702" s="1130" t="s">
        <v>3321</v>
      </c>
      <c r="C702" s="493" t="s">
        <v>3078</v>
      </c>
      <c r="D702" s="493" t="s">
        <v>3079</v>
      </c>
      <c r="E702" s="505">
        <v>0</v>
      </c>
      <c r="F702" s="505">
        <f t="shared" si="41"/>
        <v>0</v>
      </c>
      <c r="G702" s="505">
        <v>11232000</v>
      </c>
      <c r="H702" s="505">
        <f t="shared" si="42"/>
        <v>11232</v>
      </c>
      <c r="I702" s="505">
        <v>11232000</v>
      </c>
      <c r="J702" s="505">
        <f t="shared" si="43"/>
        <v>11232</v>
      </c>
      <c r="K702" s="506">
        <f t="shared" si="44"/>
        <v>1</v>
      </c>
    </row>
    <row r="703" spans="1:11" ht="21.9" customHeight="1">
      <c r="A703" s="1136"/>
      <c r="B703" s="1130"/>
      <c r="C703" s="493" t="s">
        <v>3082</v>
      </c>
      <c r="D703" s="493" t="s">
        <v>3083</v>
      </c>
      <c r="E703" s="505">
        <v>0</v>
      </c>
      <c r="F703" s="505">
        <f t="shared" si="41"/>
        <v>0</v>
      </c>
      <c r="G703" s="505">
        <v>17000</v>
      </c>
      <c r="H703" s="505">
        <f t="shared" si="42"/>
        <v>17</v>
      </c>
      <c r="I703" s="505">
        <v>17000</v>
      </c>
      <c r="J703" s="505">
        <f t="shared" si="43"/>
        <v>17</v>
      </c>
      <c r="K703" s="506">
        <f t="shared" si="44"/>
        <v>1</v>
      </c>
    </row>
    <row r="704" spans="1:11" ht="21.9" customHeight="1">
      <c r="A704" s="1136"/>
      <c r="B704" s="1130"/>
      <c r="C704" s="493" t="s">
        <v>3096</v>
      </c>
      <c r="D704" s="493" t="s">
        <v>3097</v>
      </c>
      <c r="E704" s="505">
        <v>6274000</v>
      </c>
      <c r="F704" s="505">
        <f t="shared" si="41"/>
        <v>6274</v>
      </c>
      <c r="G704" s="505">
        <v>44887000</v>
      </c>
      <c r="H704" s="505">
        <f t="shared" si="42"/>
        <v>44887</v>
      </c>
      <c r="I704" s="505">
        <v>44887000</v>
      </c>
      <c r="J704" s="505">
        <f t="shared" si="43"/>
        <v>44887</v>
      </c>
      <c r="K704" s="506">
        <f t="shared" si="44"/>
        <v>1</v>
      </c>
    </row>
    <row r="705" spans="1:11" ht="21.9" customHeight="1">
      <c r="A705" s="1136"/>
      <c r="B705" s="1130"/>
      <c r="C705" s="493" t="s">
        <v>3098</v>
      </c>
      <c r="D705" s="493" t="s">
        <v>3099</v>
      </c>
      <c r="E705" s="505">
        <v>0</v>
      </c>
      <c r="F705" s="505">
        <f t="shared" si="41"/>
        <v>0</v>
      </c>
      <c r="G705" s="505">
        <v>554411.19999999995</v>
      </c>
      <c r="H705" s="505">
        <f t="shared" si="42"/>
        <v>554.41120000000001</v>
      </c>
      <c r="I705" s="505">
        <v>554411.19999999995</v>
      </c>
      <c r="J705" s="505">
        <f t="shared" si="43"/>
        <v>554.41120000000001</v>
      </c>
      <c r="K705" s="506">
        <f t="shared" si="44"/>
        <v>1</v>
      </c>
    </row>
    <row r="706" spans="1:11" ht="21.9" customHeight="1">
      <c r="A706" s="1136" t="s">
        <v>3236</v>
      </c>
      <c r="B706" s="1130" t="s">
        <v>3237</v>
      </c>
      <c r="C706" s="493" t="s">
        <v>3185</v>
      </c>
      <c r="D706" s="493" t="s">
        <v>3186</v>
      </c>
      <c r="E706" s="505">
        <v>0</v>
      </c>
      <c r="F706" s="505">
        <f t="shared" si="41"/>
        <v>0</v>
      </c>
      <c r="G706" s="505">
        <v>100000</v>
      </c>
      <c r="H706" s="505">
        <f t="shared" si="42"/>
        <v>100</v>
      </c>
      <c r="I706" s="505">
        <v>100000</v>
      </c>
      <c r="J706" s="505">
        <f t="shared" si="43"/>
        <v>100</v>
      </c>
      <c r="K706" s="506">
        <f t="shared" si="44"/>
        <v>1</v>
      </c>
    </row>
    <row r="707" spans="1:11" ht="21.9" customHeight="1">
      <c r="A707" s="1136"/>
      <c r="B707" s="1130"/>
      <c r="C707" s="493" t="s">
        <v>3212</v>
      </c>
      <c r="D707" s="493" t="s">
        <v>3213</v>
      </c>
      <c r="E707" s="505">
        <v>0</v>
      </c>
      <c r="F707" s="505">
        <f t="shared" si="41"/>
        <v>0</v>
      </c>
      <c r="G707" s="505">
        <v>50000</v>
      </c>
      <c r="H707" s="505">
        <f t="shared" si="42"/>
        <v>50</v>
      </c>
      <c r="I707" s="505">
        <v>50000</v>
      </c>
      <c r="J707" s="505">
        <f t="shared" si="43"/>
        <v>50</v>
      </c>
      <c r="K707" s="506">
        <f t="shared" si="44"/>
        <v>1</v>
      </c>
    </row>
    <row r="708" spans="1:11" ht="21.9" customHeight="1">
      <c r="A708" s="1136"/>
      <c r="B708" s="1130"/>
      <c r="C708" s="493" t="s">
        <v>3124</v>
      </c>
      <c r="D708" s="493" t="s">
        <v>3125</v>
      </c>
      <c r="E708" s="505">
        <v>1600000</v>
      </c>
      <c r="F708" s="505">
        <f t="shared" si="41"/>
        <v>1600</v>
      </c>
      <c r="G708" s="505">
        <v>603000</v>
      </c>
      <c r="H708" s="505">
        <f t="shared" si="42"/>
        <v>603</v>
      </c>
      <c r="I708" s="505">
        <v>573000</v>
      </c>
      <c r="J708" s="505">
        <f t="shared" si="43"/>
        <v>573</v>
      </c>
      <c r="K708" s="506">
        <f t="shared" si="44"/>
        <v>0.95024875621890548</v>
      </c>
    </row>
    <row r="709" spans="1:11" ht="21.9" customHeight="1">
      <c r="A709" s="1136"/>
      <c r="B709" s="1130"/>
      <c r="C709" s="493" t="s">
        <v>3214</v>
      </c>
      <c r="D709" s="493" t="s">
        <v>3215</v>
      </c>
      <c r="E709" s="505">
        <v>0</v>
      </c>
      <c r="F709" s="505">
        <f t="shared" si="41"/>
        <v>0</v>
      </c>
      <c r="G709" s="505">
        <v>82000</v>
      </c>
      <c r="H709" s="505">
        <f t="shared" si="42"/>
        <v>82</v>
      </c>
      <c r="I709" s="505">
        <v>82000</v>
      </c>
      <c r="J709" s="505">
        <f t="shared" si="43"/>
        <v>82</v>
      </c>
      <c r="K709" s="506">
        <f t="shared" si="44"/>
        <v>1</v>
      </c>
    </row>
    <row r="710" spans="1:11" ht="21.9" customHeight="1">
      <c r="A710" s="1136"/>
      <c r="B710" s="1130"/>
      <c r="C710" s="493" t="s">
        <v>3082</v>
      </c>
      <c r="D710" s="493" t="s">
        <v>3083</v>
      </c>
      <c r="E710" s="505">
        <v>0</v>
      </c>
      <c r="F710" s="505">
        <f t="shared" si="41"/>
        <v>0</v>
      </c>
      <c r="G710" s="505">
        <v>503000</v>
      </c>
      <c r="H710" s="505">
        <f t="shared" si="42"/>
        <v>503</v>
      </c>
      <c r="I710" s="505">
        <v>500800</v>
      </c>
      <c r="J710" s="505">
        <f t="shared" si="43"/>
        <v>500.8</v>
      </c>
      <c r="K710" s="506">
        <f t="shared" si="44"/>
        <v>0.99562624254473164</v>
      </c>
    </row>
    <row r="711" spans="1:11" ht="21.9" customHeight="1">
      <c r="A711" s="1136"/>
      <c r="B711" s="1130"/>
      <c r="C711" s="493" t="s">
        <v>3480</v>
      </c>
      <c r="D711" s="493" t="s">
        <v>3481</v>
      </c>
      <c r="E711" s="505">
        <v>0</v>
      </c>
      <c r="F711" s="505">
        <f t="shared" ref="F711:F774" si="45">E711/1000</f>
        <v>0</v>
      </c>
      <c r="G711" s="505">
        <v>200000</v>
      </c>
      <c r="H711" s="505">
        <f t="shared" ref="H711:H774" si="46">G711/1000</f>
        <v>200</v>
      </c>
      <c r="I711" s="505">
        <v>200000</v>
      </c>
      <c r="J711" s="505">
        <f t="shared" ref="J711:J774" si="47">I711/1000</f>
        <v>200</v>
      </c>
      <c r="K711" s="506">
        <f t="shared" si="44"/>
        <v>1</v>
      </c>
    </row>
    <row r="712" spans="1:11" ht="21.9" customHeight="1">
      <c r="A712" s="1136" t="s">
        <v>3482</v>
      </c>
      <c r="B712" s="1130" t="s">
        <v>3483</v>
      </c>
      <c r="C712" s="493" t="s">
        <v>3115</v>
      </c>
      <c r="D712" s="493" t="s">
        <v>1492</v>
      </c>
      <c r="E712" s="505">
        <v>0</v>
      </c>
      <c r="F712" s="505">
        <f t="shared" si="45"/>
        <v>0</v>
      </c>
      <c r="G712" s="505">
        <v>90850</v>
      </c>
      <c r="H712" s="505">
        <f t="shared" si="46"/>
        <v>90.85</v>
      </c>
      <c r="I712" s="505">
        <v>90850</v>
      </c>
      <c r="J712" s="505">
        <f t="shared" si="47"/>
        <v>90.85</v>
      </c>
      <c r="K712" s="506">
        <f t="shared" si="44"/>
        <v>1</v>
      </c>
    </row>
    <row r="713" spans="1:11" ht="21.9" customHeight="1">
      <c r="A713" s="1136"/>
      <c r="B713" s="1130"/>
      <c r="C713" s="493" t="s">
        <v>3137</v>
      </c>
      <c r="D713" s="493" t="s">
        <v>3138</v>
      </c>
      <c r="E713" s="505">
        <v>0</v>
      </c>
      <c r="F713" s="505">
        <f t="shared" si="45"/>
        <v>0</v>
      </c>
      <c r="G713" s="505">
        <v>2200</v>
      </c>
      <c r="H713" s="505">
        <f t="shared" si="46"/>
        <v>2.2000000000000002</v>
      </c>
      <c r="I713" s="505">
        <v>2200</v>
      </c>
      <c r="J713" s="505">
        <f t="shared" si="47"/>
        <v>2.2000000000000002</v>
      </c>
      <c r="K713" s="506">
        <f t="shared" si="44"/>
        <v>1</v>
      </c>
    </row>
    <row r="714" spans="1:11" ht="21.9" customHeight="1">
      <c r="A714" s="1136" t="s">
        <v>3238</v>
      </c>
      <c r="B714" s="1130" t="s">
        <v>3239</v>
      </c>
      <c r="C714" s="493" t="s">
        <v>3096</v>
      </c>
      <c r="D714" s="493" t="s">
        <v>3097</v>
      </c>
      <c r="E714" s="505">
        <v>22944000</v>
      </c>
      <c r="F714" s="505">
        <f t="shared" si="45"/>
        <v>22944</v>
      </c>
      <c r="G714" s="505">
        <v>98745000</v>
      </c>
      <c r="H714" s="505">
        <f t="shared" si="46"/>
        <v>98745</v>
      </c>
      <c r="I714" s="505">
        <v>98745000</v>
      </c>
      <c r="J714" s="505">
        <f t="shared" si="47"/>
        <v>98745</v>
      </c>
      <c r="K714" s="506">
        <f t="shared" si="44"/>
        <v>1</v>
      </c>
    </row>
    <row r="715" spans="1:11" ht="21.9" customHeight="1">
      <c r="A715" s="1136"/>
      <c r="B715" s="1130"/>
      <c r="C715" s="493" t="s">
        <v>3098</v>
      </c>
      <c r="D715" s="493" t="s">
        <v>3099</v>
      </c>
      <c r="E715" s="505">
        <v>0</v>
      </c>
      <c r="F715" s="505">
        <f t="shared" si="45"/>
        <v>0</v>
      </c>
      <c r="G715" s="505">
        <v>413076.24</v>
      </c>
      <c r="H715" s="505">
        <f t="shared" si="46"/>
        <v>413.07623999999998</v>
      </c>
      <c r="I715" s="505">
        <v>413076.24</v>
      </c>
      <c r="J715" s="505">
        <f t="shared" si="47"/>
        <v>413.07623999999998</v>
      </c>
      <c r="K715" s="506">
        <f t="shared" si="44"/>
        <v>1</v>
      </c>
    </row>
    <row r="716" spans="1:11" ht="21.9" customHeight="1">
      <c r="A716" s="1136"/>
      <c r="B716" s="1130"/>
      <c r="C716" s="493" t="s">
        <v>3103</v>
      </c>
      <c r="D716" s="493" t="s">
        <v>3104</v>
      </c>
      <c r="E716" s="505">
        <v>2000000</v>
      </c>
      <c r="F716" s="505">
        <f t="shared" si="45"/>
        <v>2000</v>
      </c>
      <c r="G716" s="505">
        <v>6838991</v>
      </c>
      <c r="H716" s="505">
        <f t="shared" si="46"/>
        <v>6838.991</v>
      </c>
      <c r="I716" s="505">
        <v>6341073</v>
      </c>
      <c r="J716" s="505">
        <f t="shared" si="47"/>
        <v>6341.0730000000003</v>
      </c>
      <c r="K716" s="506">
        <f t="shared" si="44"/>
        <v>0.92719423084487174</v>
      </c>
    </row>
    <row r="717" spans="1:11" ht="21.9" customHeight="1">
      <c r="A717" s="1136" t="s">
        <v>3349</v>
      </c>
      <c r="B717" s="1130" t="s">
        <v>3350</v>
      </c>
      <c r="C717" s="493" t="s">
        <v>3124</v>
      </c>
      <c r="D717" s="493" t="s">
        <v>3125</v>
      </c>
      <c r="E717" s="505">
        <v>400000</v>
      </c>
      <c r="F717" s="505">
        <f t="shared" si="45"/>
        <v>400</v>
      </c>
      <c r="G717" s="505">
        <v>20000</v>
      </c>
      <c r="H717" s="505">
        <f t="shared" si="46"/>
        <v>20</v>
      </c>
      <c r="I717" s="505">
        <v>20000</v>
      </c>
      <c r="J717" s="505">
        <f t="shared" si="47"/>
        <v>20</v>
      </c>
      <c r="K717" s="506">
        <f t="shared" si="44"/>
        <v>1</v>
      </c>
    </row>
    <row r="718" spans="1:11" ht="21.9" customHeight="1">
      <c r="A718" s="1136"/>
      <c r="B718" s="1130"/>
      <c r="C718" s="493" t="s">
        <v>3214</v>
      </c>
      <c r="D718" s="493" t="s">
        <v>3215</v>
      </c>
      <c r="E718" s="505">
        <v>0</v>
      </c>
      <c r="F718" s="505">
        <f t="shared" si="45"/>
        <v>0</v>
      </c>
      <c r="G718" s="505">
        <v>5000</v>
      </c>
      <c r="H718" s="505">
        <f t="shared" si="46"/>
        <v>5</v>
      </c>
      <c r="I718" s="505">
        <v>5000</v>
      </c>
      <c r="J718" s="505">
        <f t="shared" si="47"/>
        <v>5</v>
      </c>
      <c r="K718" s="506">
        <f t="shared" si="44"/>
        <v>1</v>
      </c>
    </row>
    <row r="719" spans="1:11" ht="21.9" customHeight="1">
      <c r="A719" s="1136"/>
      <c r="B719" s="1130"/>
      <c r="C719" s="493" t="s">
        <v>3078</v>
      </c>
      <c r="D719" s="493" t="s">
        <v>3079</v>
      </c>
      <c r="E719" s="505">
        <v>0</v>
      </c>
      <c r="F719" s="505">
        <f t="shared" si="45"/>
        <v>0</v>
      </c>
      <c r="G719" s="505">
        <v>20000</v>
      </c>
      <c r="H719" s="505">
        <f t="shared" si="46"/>
        <v>20</v>
      </c>
      <c r="I719" s="505">
        <v>20000</v>
      </c>
      <c r="J719" s="505">
        <f t="shared" si="47"/>
        <v>20</v>
      </c>
      <c r="K719" s="506">
        <f t="shared" si="44"/>
        <v>1</v>
      </c>
    </row>
    <row r="720" spans="1:11" ht="21.9" customHeight="1">
      <c r="A720" s="1136"/>
      <c r="B720" s="1130"/>
      <c r="C720" s="493" t="s">
        <v>3082</v>
      </c>
      <c r="D720" s="493" t="s">
        <v>3083</v>
      </c>
      <c r="E720" s="505">
        <v>0</v>
      </c>
      <c r="F720" s="505">
        <f t="shared" si="45"/>
        <v>0</v>
      </c>
      <c r="G720" s="505">
        <v>157000</v>
      </c>
      <c r="H720" s="505">
        <f t="shared" si="46"/>
        <v>157</v>
      </c>
      <c r="I720" s="505">
        <v>157000</v>
      </c>
      <c r="J720" s="505">
        <f t="shared" si="47"/>
        <v>157</v>
      </c>
      <c r="K720" s="506">
        <f t="shared" si="44"/>
        <v>1</v>
      </c>
    </row>
    <row r="721" spans="1:11" ht="21.9" customHeight="1">
      <c r="A721" s="509" t="s">
        <v>3274</v>
      </c>
      <c r="B721" s="493" t="s">
        <v>3275</v>
      </c>
      <c r="C721" s="493" t="s">
        <v>3132</v>
      </c>
      <c r="D721" s="493" t="s">
        <v>1470</v>
      </c>
      <c r="E721" s="505">
        <v>0</v>
      </c>
      <c r="F721" s="505">
        <f t="shared" si="45"/>
        <v>0</v>
      </c>
      <c r="G721" s="505">
        <v>881389</v>
      </c>
      <c r="H721" s="505">
        <f t="shared" si="46"/>
        <v>881.38900000000001</v>
      </c>
      <c r="I721" s="505">
        <v>881389</v>
      </c>
      <c r="J721" s="505">
        <f t="shared" si="47"/>
        <v>881.38900000000001</v>
      </c>
      <c r="K721" s="506">
        <f t="shared" si="44"/>
        <v>1</v>
      </c>
    </row>
    <row r="722" spans="1:11" ht="21.9" customHeight="1">
      <c r="A722" s="1136" t="s">
        <v>3274</v>
      </c>
      <c r="B722" s="1130" t="s">
        <v>3275</v>
      </c>
      <c r="C722" s="493" t="s">
        <v>3133</v>
      </c>
      <c r="D722" s="493" t="s">
        <v>3134</v>
      </c>
      <c r="E722" s="505">
        <v>0</v>
      </c>
      <c r="F722" s="505">
        <f t="shared" si="45"/>
        <v>0</v>
      </c>
      <c r="G722" s="505">
        <v>220364</v>
      </c>
      <c r="H722" s="505">
        <f t="shared" si="46"/>
        <v>220.364</v>
      </c>
      <c r="I722" s="505">
        <v>220364</v>
      </c>
      <c r="J722" s="505">
        <f t="shared" si="47"/>
        <v>220.364</v>
      </c>
      <c r="K722" s="506">
        <f t="shared" si="44"/>
        <v>1</v>
      </c>
    </row>
    <row r="723" spans="1:11" ht="21.9" customHeight="1">
      <c r="A723" s="1136"/>
      <c r="B723" s="1130"/>
      <c r="C723" s="493" t="s">
        <v>3135</v>
      </c>
      <c r="D723" s="493" t="s">
        <v>3136</v>
      </c>
      <c r="E723" s="505">
        <v>0</v>
      </c>
      <c r="F723" s="505">
        <f t="shared" si="45"/>
        <v>0</v>
      </c>
      <c r="G723" s="505">
        <v>79321</v>
      </c>
      <c r="H723" s="505">
        <f t="shared" si="46"/>
        <v>79.320999999999998</v>
      </c>
      <c r="I723" s="505">
        <v>79321</v>
      </c>
      <c r="J723" s="505">
        <f t="shared" si="47"/>
        <v>79.320999999999998</v>
      </c>
      <c r="K723" s="506">
        <f t="shared" si="44"/>
        <v>1</v>
      </c>
    </row>
    <row r="724" spans="1:11" ht="21.9" customHeight="1">
      <c r="A724" s="1136"/>
      <c r="B724" s="1130"/>
      <c r="C724" s="493" t="s">
        <v>3145</v>
      </c>
      <c r="D724" s="493" t="s">
        <v>3146</v>
      </c>
      <c r="E724" s="505">
        <v>0</v>
      </c>
      <c r="F724" s="505">
        <f t="shared" si="45"/>
        <v>0</v>
      </c>
      <c r="G724" s="505">
        <v>1829</v>
      </c>
      <c r="H724" s="505">
        <f t="shared" si="46"/>
        <v>1.829</v>
      </c>
      <c r="I724" s="505">
        <v>1829</v>
      </c>
      <c r="J724" s="505">
        <f t="shared" si="47"/>
        <v>1.829</v>
      </c>
      <c r="K724" s="506">
        <f t="shared" si="44"/>
        <v>1</v>
      </c>
    </row>
    <row r="725" spans="1:11" ht="21.9" customHeight="1">
      <c r="A725" s="1136"/>
      <c r="B725" s="1130"/>
      <c r="C725" s="493" t="s">
        <v>3165</v>
      </c>
      <c r="D725" s="493" t="s">
        <v>3166</v>
      </c>
      <c r="E725" s="505">
        <v>0</v>
      </c>
      <c r="F725" s="505">
        <f t="shared" si="45"/>
        <v>0</v>
      </c>
      <c r="G725" s="505">
        <v>60377</v>
      </c>
      <c r="H725" s="505">
        <f t="shared" si="46"/>
        <v>60.377000000000002</v>
      </c>
      <c r="I725" s="505">
        <v>60377</v>
      </c>
      <c r="J725" s="505">
        <f t="shared" si="47"/>
        <v>60.377000000000002</v>
      </c>
      <c r="K725" s="506">
        <f t="shared" si="44"/>
        <v>1</v>
      </c>
    </row>
    <row r="726" spans="1:11" ht="21.9" customHeight="1">
      <c r="A726" s="1136"/>
      <c r="B726" s="1130"/>
      <c r="C726" s="493" t="s">
        <v>3072</v>
      </c>
      <c r="D726" s="493" t="s">
        <v>3073</v>
      </c>
      <c r="E726" s="505">
        <v>0</v>
      </c>
      <c r="F726" s="505">
        <f t="shared" si="45"/>
        <v>0</v>
      </c>
      <c r="G726" s="505">
        <v>17284</v>
      </c>
      <c r="H726" s="505">
        <f t="shared" si="46"/>
        <v>17.283999999999999</v>
      </c>
      <c r="I726" s="505">
        <v>17284</v>
      </c>
      <c r="J726" s="505">
        <f t="shared" si="47"/>
        <v>17.283999999999999</v>
      </c>
      <c r="K726" s="506">
        <f t="shared" si="44"/>
        <v>1</v>
      </c>
    </row>
    <row r="727" spans="1:11" ht="21.9" customHeight="1">
      <c r="A727" s="1136"/>
      <c r="B727" s="1130"/>
      <c r="C727" s="493" t="s">
        <v>3150</v>
      </c>
      <c r="D727" s="493" t="s">
        <v>3151</v>
      </c>
      <c r="E727" s="505">
        <v>0</v>
      </c>
      <c r="F727" s="505">
        <f t="shared" si="45"/>
        <v>0</v>
      </c>
      <c r="G727" s="505">
        <v>840</v>
      </c>
      <c r="H727" s="505">
        <f t="shared" si="46"/>
        <v>0.84</v>
      </c>
      <c r="I727" s="505">
        <v>840</v>
      </c>
      <c r="J727" s="505">
        <f t="shared" si="47"/>
        <v>0.84</v>
      </c>
      <c r="K727" s="506">
        <f t="shared" si="44"/>
        <v>1</v>
      </c>
    </row>
    <row r="728" spans="1:11" ht="21.9" customHeight="1">
      <c r="A728" s="1136"/>
      <c r="B728" s="1130"/>
      <c r="C728" s="493" t="s">
        <v>3152</v>
      </c>
      <c r="D728" s="493" t="s">
        <v>3153</v>
      </c>
      <c r="E728" s="505">
        <v>0</v>
      </c>
      <c r="F728" s="505">
        <f t="shared" si="45"/>
        <v>0</v>
      </c>
      <c r="G728" s="505">
        <v>13552.939999999999</v>
      </c>
      <c r="H728" s="505">
        <f t="shared" si="46"/>
        <v>13.55294</v>
      </c>
      <c r="I728" s="505">
        <v>13552.94</v>
      </c>
      <c r="J728" s="505">
        <f t="shared" si="47"/>
        <v>13.552940000000001</v>
      </c>
      <c r="K728" s="506">
        <f t="shared" si="44"/>
        <v>1.0000000000000002</v>
      </c>
    </row>
    <row r="729" spans="1:11" ht="21.9" customHeight="1">
      <c r="A729" s="1136"/>
      <c r="B729" s="1130"/>
      <c r="C729" s="493" t="s">
        <v>3154</v>
      </c>
      <c r="D729" s="493" t="s">
        <v>3155</v>
      </c>
      <c r="E729" s="505">
        <v>0</v>
      </c>
      <c r="F729" s="505">
        <f t="shared" si="45"/>
        <v>0</v>
      </c>
      <c r="G729" s="505">
        <v>101</v>
      </c>
      <c r="H729" s="505">
        <f t="shared" si="46"/>
        <v>0.10100000000000001</v>
      </c>
      <c r="I729" s="505">
        <v>101</v>
      </c>
      <c r="J729" s="505">
        <f t="shared" si="47"/>
        <v>0.10100000000000001</v>
      </c>
      <c r="K729" s="506">
        <f t="shared" si="44"/>
        <v>1</v>
      </c>
    </row>
    <row r="730" spans="1:11" ht="21.9" customHeight="1">
      <c r="A730" s="1136"/>
      <c r="B730" s="1130"/>
      <c r="C730" s="493" t="s">
        <v>3156</v>
      </c>
      <c r="D730" s="493" t="s">
        <v>3157</v>
      </c>
      <c r="E730" s="505">
        <v>0</v>
      </c>
      <c r="F730" s="505">
        <f t="shared" si="45"/>
        <v>0</v>
      </c>
      <c r="G730" s="505">
        <v>3850</v>
      </c>
      <c r="H730" s="505">
        <f t="shared" si="46"/>
        <v>3.85</v>
      </c>
      <c r="I730" s="505">
        <v>3850</v>
      </c>
      <c r="J730" s="505">
        <f t="shared" si="47"/>
        <v>3.85</v>
      </c>
      <c r="K730" s="506">
        <f t="shared" si="44"/>
        <v>1</v>
      </c>
    </row>
    <row r="731" spans="1:11" ht="21.9" customHeight="1">
      <c r="A731" s="1136"/>
      <c r="B731" s="1130"/>
      <c r="C731" s="493" t="s">
        <v>3074</v>
      </c>
      <c r="D731" s="493" t="s">
        <v>3075</v>
      </c>
      <c r="E731" s="505">
        <v>0</v>
      </c>
      <c r="F731" s="505">
        <f t="shared" si="45"/>
        <v>0</v>
      </c>
      <c r="G731" s="505">
        <v>5861</v>
      </c>
      <c r="H731" s="505">
        <f t="shared" si="46"/>
        <v>5.8609999999999998</v>
      </c>
      <c r="I731" s="505">
        <v>5861</v>
      </c>
      <c r="J731" s="505">
        <f t="shared" si="47"/>
        <v>5.8609999999999998</v>
      </c>
      <c r="K731" s="506">
        <f t="shared" si="44"/>
        <v>1</v>
      </c>
    </row>
    <row r="732" spans="1:11" ht="21.9" customHeight="1">
      <c r="A732" s="1136"/>
      <c r="B732" s="1130"/>
      <c r="C732" s="493" t="s">
        <v>3137</v>
      </c>
      <c r="D732" s="493" t="s">
        <v>3138</v>
      </c>
      <c r="E732" s="505">
        <v>0</v>
      </c>
      <c r="F732" s="505">
        <f t="shared" si="45"/>
        <v>0</v>
      </c>
      <c r="G732" s="505">
        <v>3127</v>
      </c>
      <c r="H732" s="505">
        <f t="shared" si="46"/>
        <v>3.1269999999999998</v>
      </c>
      <c r="I732" s="505">
        <v>3127</v>
      </c>
      <c r="J732" s="505">
        <f t="shared" si="47"/>
        <v>3.1269999999999998</v>
      </c>
      <c r="K732" s="506">
        <f t="shared" ref="K732:K794" si="48">I732/G732</f>
        <v>1</v>
      </c>
    </row>
    <row r="733" spans="1:11" ht="21.9" customHeight="1">
      <c r="A733" s="1136"/>
      <c r="B733" s="1130"/>
      <c r="C733" s="493" t="s">
        <v>3076</v>
      </c>
      <c r="D733" s="493" t="s">
        <v>3077</v>
      </c>
      <c r="E733" s="505">
        <v>0</v>
      </c>
      <c r="F733" s="505">
        <f t="shared" si="45"/>
        <v>0</v>
      </c>
      <c r="G733" s="505">
        <v>16200</v>
      </c>
      <c r="H733" s="505">
        <f t="shared" si="46"/>
        <v>16.2</v>
      </c>
      <c r="I733" s="505">
        <v>16200</v>
      </c>
      <c r="J733" s="505">
        <f t="shared" si="47"/>
        <v>16.2</v>
      </c>
      <c r="K733" s="506">
        <f t="shared" si="48"/>
        <v>1</v>
      </c>
    </row>
    <row r="734" spans="1:11" ht="21.9" customHeight="1">
      <c r="A734" s="1136"/>
      <c r="B734" s="1130"/>
      <c r="C734" s="493" t="s">
        <v>3139</v>
      </c>
      <c r="D734" s="493" t="s">
        <v>3140</v>
      </c>
      <c r="E734" s="505">
        <v>0</v>
      </c>
      <c r="F734" s="505">
        <f t="shared" si="45"/>
        <v>0</v>
      </c>
      <c r="G734" s="505">
        <v>1724930.82</v>
      </c>
      <c r="H734" s="505">
        <f t="shared" si="46"/>
        <v>1724.93082</v>
      </c>
      <c r="I734" s="505">
        <v>0</v>
      </c>
      <c r="J734" s="505">
        <f t="shared" si="47"/>
        <v>0</v>
      </c>
      <c r="K734" s="506">
        <f t="shared" si="48"/>
        <v>0</v>
      </c>
    </row>
    <row r="735" spans="1:11" ht="21.9" customHeight="1">
      <c r="A735" s="1137" t="s">
        <v>3484</v>
      </c>
      <c r="B735" s="1138"/>
      <c r="C735" s="1138"/>
      <c r="D735" s="1138"/>
      <c r="E735" s="507">
        <v>371524000</v>
      </c>
      <c r="F735" s="507">
        <f t="shared" si="45"/>
        <v>371524</v>
      </c>
      <c r="G735" s="507">
        <v>4780178750.4200001</v>
      </c>
      <c r="H735" s="507">
        <f t="shared" si="46"/>
        <v>4780178.7504200004</v>
      </c>
      <c r="I735" s="507">
        <v>4681512862.75</v>
      </c>
      <c r="J735" s="507">
        <f t="shared" si="47"/>
        <v>4681512.8627500003</v>
      </c>
      <c r="K735" s="508">
        <f t="shared" si="48"/>
        <v>0.97935937277213092</v>
      </c>
    </row>
    <row r="736" spans="1:11" ht="21.9" customHeight="1">
      <c r="A736" s="1145" t="s">
        <v>1544</v>
      </c>
      <c r="B736" s="1146"/>
      <c r="C736" s="1146"/>
      <c r="D736" s="1146"/>
      <c r="E736" s="1146"/>
      <c r="F736" s="1146"/>
      <c r="G736" s="1146"/>
      <c r="H736" s="1146"/>
      <c r="I736" s="1146"/>
      <c r="J736" s="1146"/>
      <c r="K736" s="1147"/>
    </row>
    <row r="737" spans="1:11" ht="21.9" customHeight="1">
      <c r="A737" s="1136" t="s">
        <v>3485</v>
      </c>
      <c r="B737" s="1130" t="s">
        <v>3486</v>
      </c>
      <c r="C737" s="493" t="s">
        <v>3183</v>
      </c>
      <c r="D737" s="493" t="s">
        <v>3184</v>
      </c>
      <c r="E737" s="505">
        <v>20000000</v>
      </c>
      <c r="F737" s="505">
        <f t="shared" si="45"/>
        <v>20000</v>
      </c>
      <c r="G737" s="505">
        <v>5131275</v>
      </c>
      <c r="H737" s="505">
        <f t="shared" si="46"/>
        <v>5131.2749999999996</v>
      </c>
      <c r="I737" s="505">
        <v>3099490</v>
      </c>
      <c r="J737" s="505">
        <f t="shared" si="47"/>
        <v>3099.49</v>
      </c>
      <c r="K737" s="506">
        <f t="shared" si="48"/>
        <v>0.6040389571792586</v>
      </c>
    </row>
    <row r="738" spans="1:11" ht="21.9" customHeight="1">
      <c r="A738" s="1136"/>
      <c r="B738" s="1130"/>
      <c r="C738" s="493" t="s">
        <v>3185</v>
      </c>
      <c r="D738" s="493" t="s">
        <v>3186</v>
      </c>
      <c r="E738" s="505">
        <v>0</v>
      </c>
      <c r="F738" s="505">
        <f t="shared" si="45"/>
        <v>0</v>
      </c>
      <c r="G738" s="505">
        <v>4652468</v>
      </c>
      <c r="H738" s="505">
        <f t="shared" si="46"/>
        <v>4652.4679999999998</v>
      </c>
      <c r="I738" s="505">
        <v>4652468</v>
      </c>
      <c r="J738" s="505">
        <f t="shared" si="47"/>
        <v>4652.4679999999998</v>
      </c>
      <c r="K738" s="506">
        <f t="shared" si="48"/>
        <v>1</v>
      </c>
    </row>
    <row r="739" spans="1:11" ht="21.9" customHeight="1">
      <c r="A739" s="1136" t="s">
        <v>3485</v>
      </c>
      <c r="B739" s="1130" t="s">
        <v>3486</v>
      </c>
      <c r="C739" s="493" t="s">
        <v>3214</v>
      </c>
      <c r="D739" s="493" t="s">
        <v>3215</v>
      </c>
      <c r="E739" s="505">
        <v>0</v>
      </c>
      <c r="F739" s="505">
        <f t="shared" si="45"/>
        <v>0</v>
      </c>
      <c r="G739" s="505">
        <v>13864</v>
      </c>
      <c r="H739" s="505">
        <f t="shared" si="46"/>
        <v>13.864000000000001</v>
      </c>
      <c r="I739" s="505">
        <v>13864</v>
      </c>
      <c r="J739" s="505">
        <f t="shared" si="47"/>
        <v>13.864000000000001</v>
      </c>
      <c r="K739" s="506">
        <f t="shared" si="48"/>
        <v>1</v>
      </c>
    </row>
    <row r="740" spans="1:11" ht="21.9" customHeight="1">
      <c r="A740" s="1136"/>
      <c r="B740" s="1130"/>
      <c r="C740" s="493" t="s">
        <v>3082</v>
      </c>
      <c r="D740" s="493" t="s">
        <v>3083</v>
      </c>
      <c r="E740" s="505">
        <v>0</v>
      </c>
      <c r="F740" s="505">
        <f t="shared" si="45"/>
        <v>0</v>
      </c>
      <c r="G740" s="505">
        <v>13018969</v>
      </c>
      <c r="H740" s="505">
        <f t="shared" si="46"/>
        <v>13018.968999999999</v>
      </c>
      <c r="I740" s="505">
        <v>13018969</v>
      </c>
      <c r="J740" s="505">
        <f t="shared" si="47"/>
        <v>13018.968999999999</v>
      </c>
      <c r="K740" s="506">
        <f t="shared" si="48"/>
        <v>1</v>
      </c>
    </row>
    <row r="741" spans="1:11" ht="21.9" customHeight="1">
      <c r="A741" s="1136"/>
      <c r="B741" s="1130"/>
      <c r="C741" s="493" t="s">
        <v>3187</v>
      </c>
      <c r="D741" s="493" t="s">
        <v>3188</v>
      </c>
      <c r="E741" s="505">
        <v>0</v>
      </c>
      <c r="F741" s="505">
        <f t="shared" si="45"/>
        <v>0</v>
      </c>
      <c r="G741" s="505">
        <v>728432</v>
      </c>
      <c r="H741" s="505">
        <f t="shared" si="46"/>
        <v>728.43200000000002</v>
      </c>
      <c r="I741" s="505">
        <v>728432</v>
      </c>
      <c r="J741" s="505">
        <f t="shared" si="47"/>
        <v>728.43200000000002</v>
      </c>
      <c r="K741" s="506">
        <f t="shared" si="48"/>
        <v>1</v>
      </c>
    </row>
    <row r="742" spans="1:11" ht="21.9" customHeight="1">
      <c r="A742" s="1136" t="s">
        <v>3487</v>
      </c>
      <c r="B742" s="1130" t="s">
        <v>3488</v>
      </c>
      <c r="C742" s="493" t="s">
        <v>3402</v>
      </c>
      <c r="D742" s="493" t="s">
        <v>3403</v>
      </c>
      <c r="E742" s="505">
        <v>55000</v>
      </c>
      <c r="F742" s="505">
        <f t="shared" si="45"/>
        <v>55</v>
      </c>
      <c r="G742" s="505">
        <v>53725.2</v>
      </c>
      <c r="H742" s="505">
        <f t="shared" si="46"/>
        <v>53.725199999999994</v>
      </c>
      <c r="I742" s="505">
        <v>53725.2</v>
      </c>
      <c r="J742" s="505">
        <f t="shared" si="47"/>
        <v>53.725199999999994</v>
      </c>
      <c r="K742" s="506">
        <f t="shared" si="48"/>
        <v>1</v>
      </c>
    </row>
    <row r="743" spans="1:11" ht="21.9" customHeight="1">
      <c r="A743" s="1136"/>
      <c r="B743" s="1130"/>
      <c r="C743" s="493" t="s">
        <v>3156</v>
      </c>
      <c r="D743" s="493" t="s">
        <v>3157</v>
      </c>
      <c r="E743" s="505">
        <v>0</v>
      </c>
      <c r="F743" s="505">
        <f t="shared" si="45"/>
        <v>0</v>
      </c>
      <c r="G743" s="505">
        <v>2000</v>
      </c>
      <c r="H743" s="505">
        <f t="shared" si="46"/>
        <v>2</v>
      </c>
      <c r="I743" s="505">
        <v>2000</v>
      </c>
      <c r="J743" s="505">
        <f t="shared" si="47"/>
        <v>2</v>
      </c>
      <c r="K743" s="506">
        <f t="shared" si="48"/>
        <v>1</v>
      </c>
    </row>
    <row r="744" spans="1:11" ht="21.9" customHeight="1">
      <c r="A744" s="1136"/>
      <c r="B744" s="1130"/>
      <c r="C744" s="493" t="s">
        <v>3092</v>
      </c>
      <c r="D744" s="493" t="s">
        <v>3093</v>
      </c>
      <c r="E744" s="505">
        <v>30000</v>
      </c>
      <c r="F744" s="505">
        <f t="shared" si="45"/>
        <v>30</v>
      </c>
      <c r="G744" s="505">
        <v>0</v>
      </c>
      <c r="H744" s="505">
        <f t="shared" si="46"/>
        <v>0</v>
      </c>
      <c r="I744" s="505">
        <v>0</v>
      </c>
      <c r="J744" s="505">
        <f t="shared" si="47"/>
        <v>0</v>
      </c>
      <c r="K744" s="510" t="s">
        <v>1147</v>
      </c>
    </row>
    <row r="745" spans="1:11" ht="21.9" customHeight="1">
      <c r="A745" s="1136"/>
      <c r="B745" s="1130"/>
      <c r="C745" s="493" t="s">
        <v>3074</v>
      </c>
      <c r="D745" s="493" t="s">
        <v>3075</v>
      </c>
      <c r="E745" s="505">
        <v>20000</v>
      </c>
      <c r="F745" s="505">
        <f t="shared" si="45"/>
        <v>20</v>
      </c>
      <c r="G745" s="505">
        <v>0</v>
      </c>
      <c r="H745" s="505">
        <f t="shared" si="46"/>
        <v>0</v>
      </c>
      <c r="I745" s="505">
        <v>0</v>
      </c>
      <c r="J745" s="505">
        <f t="shared" si="47"/>
        <v>0</v>
      </c>
      <c r="K745" s="510" t="s">
        <v>1147</v>
      </c>
    </row>
    <row r="746" spans="1:11" ht="21.9" customHeight="1">
      <c r="A746" s="1136" t="s">
        <v>3489</v>
      </c>
      <c r="B746" s="1130" t="s">
        <v>3490</v>
      </c>
      <c r="C746" s="493" t="s">
        <v>3183</v>
      </c>
      <c r="D746" s="493" t="s">
        <v>3184</v>
      </c>
      <c r="E746" s="505">
        <v>0</v>
      </c>
      <c r="F746" s="505">
        <f t="shared" si="45"/>
        <v>0</v>
      </c>
      <c r="G746" s="505">
        <v>246642</v>
      </c>
      <c r="H746" s="505">
        <f t="shared" si="46"/>
        <v>246.642</v>
      </c>
      <c r="I746" s="505">
        <v>246642</v>
      </c>
      <c r="J746" s="505">
        <f t="shared" si="47"/>
        <v>246.642</v>
      </c>
      <c r="K746" s="506">
        <f t="shared" si="48"/>
        <v>1</v>
      </c>
    </row>
    <row r="747" spans="1:11" ht="21.9" customHeight="1">
      <c r="A747" s="1136"/>
      <c r="B747" s="1130"/>
      <c r="C747" s="493" t="s">
        <v>3185</v>
      </c>
      <c r="D747" s="493" t="s">
        <v>3186</v>
      </c>
      <c r="E747" s="505">
        <v>0</v>
      </c>
      <c r="F747" s="505">
        <f t="shared" si="45"/>
        <v>0</v>
      </c>
      <c r="G747" s="505">
        <v>507690</v>
      </c>
      <c r="H747" s="505">
        <f t="shared" si="46"/>
        <v>507.69</v>
      </c>
      <c r="I747" s="505">
        <v>507690</v>
      </c>
      <c r="J747" s="505">
        <f t="shared" si="47"/>
        <v>507.69</v>
      </c>
      <c r="K747" s="506">
        <f t="shared" si="48"/>
        <v>1</v>
      </c>
    </row>
    <row r="748" spans="1:11" ht="21.9" customHeight="1">
      <c r="A748" s="1136"/>
      <c r="B748" s="1130"/>
      <c r="C748" s="493" t="s">
        <v>3214</v>
      </c>
      <c r="D748" s="493" t="s">
        <v>3215</v>
      </c>
      <c r="E748" s="505">
        <v>0</v>
      </c>
      <c r="F748" s="505">
        <f t="shared" si="45"/>
        <v>0</v>
      </c>
      <c r="G748" s="505">
        <v>2360</v>
      </c>
      <c r="H748" s="505">
        <f t="shared" si="46"/>
        <v>2.36</v>
      </c>
      <c r="I748" s="505">
        <v>2360</v>
      </c>
      <c r="J748" s="505">
        <f t="shared" si="47"/>
        <v>2.36</v>
      </c>
      <c r="K748" s="506">
        <f t="shared" si="48"/>
        <v>1</v>
      </c>
    </row>
    <row r="749" spans="1:11" ht="21.9" customHeight="1">
      <c r="A749" s="1136"/>
      <c r="B749" s="1130"/>
      <c r="C749" s="493" t="s">
        <v>3082</v>
      </c>
      <c r="D749" s="493" t="s">
        <v>3083</v>
      </c>
      <c r="E749" s="505">
        <v>0</v>
      </c>
      <c r="F749" s="505">
        <f t="shared" si="45"/>
        <v>0</v>
      </c>
      <c r="G749" s="505">
        <v>666660</v>
      </c>
      <c r="H749" s="505">
        <f t="shared" si="46"/>
        <v>666.66</v>
      </c>
      <c r="I749" s="505">
        <v>666660</v>
      </c>
      <c r="J749" s="505">
        <f t="shared" si="47"/>
        <v>666.66</v>
      </c>
      <c r="K749" s="506">
        <f t="shared" si="48"/>
        <v>1</v>
      </c>
    </row>
    <row r="750" spans="1:11" ht="21.9" customHeight="1">
      <c r="A750" s="1136"/>
      <c r="B750" s="1130"/>
      <c r="C750" s="493" t="s">
        <v>3187</v>
      </c>
      <c r="D750" s="493" t="s">
        <v>3188</v>
      </c>
      <c r="E750" s="505">
        <v>0</v>
      </c>
      <c r="F750" s="505">
        <f t="shared" si="45"/>
        <v>0</v>
      </c>
      <c r="G750" s="505">
        <v>31640</v>
      </c>
      <c r="H750" s="505">
        <f t="shared" si="46"/>
        <v>31.64</v>
      </c>
      <c r="I750" s="505">
        <v>31640</v>
      </c>
      <c r="J750" s="505">
        <f t="shared" si="47"/>
        <v>31.64</v>
      </c>
      <c r="K750" s="506">
        <f t="shared" si="48"/>
        <v>1</v>
      </c>
    </row>
    <row r="751" spans="1:11" ht="21.9" customHeight="1">
      <c r="A751" s="1136"/>
      <c r="B751" s="1130"/>
      <c r="C751" s="493" t="s">
        <v>3491</v>
      </c>
      <c r="D751" s="493" t="s">
        <v>3492</v>
      </c>
      <c r="E751" s="505">
        <v>0</v>
      </c>
      <c r="F751" s="505">
        <f t="shared" si="45"/>
        <v>0</v>
      </c>
      <c r="G751" s="505">
        <v>4979000</v>
      </c>
      <c r="H751" s="505">
        <f t="shared" si="46"/>
        <v>4979</v>
      </c>
      <c r="I751" s="505">
        <v>2393948.86</v>
      </c>
      <c r="J751" s="505">
        <f t="shared" si="47"/>
        <v>2393.94886</v>
      </c>
      <c r="K751" s="506">
        <f t="shared" si="48"/>
        <v>0.48080917051616789</v>
      </c>
    </row>
    <row r="752" spans="1:11" ht="21.9" customHeight="1">
      <c r="A752" s="1136" t="s">
        <v>3493</v>
      </c>
      <c r="B752" s="1130" t="s">
        <v>3494</v>
      </c>
      <c r="C752" s="493" t="s">
        <v>3115</v>
      </c>
      <c r="D752" s="493" t="s">
        <v>1492</v>
      </c>
      <c r="E752" s="505">
        <v>0</v>
      </c>
      <c r="F752" s="505">
        <f t="shared" si="45"/>
        <v>0</v>
      </c>
      <c r="G752" s="505">
        <v>8320</v>
      </c>
      <c r="H752" s="505">
        <f t="shared" si="46"/>
        <v>8.32</v>
      </c>
      <c r="I752" s="505">
        <v>8320</v>
      </c>
      <c r="J752" s="505">
        <f t="shared" si="47"/>
        <v>8.32</v>
      </c>
      <c r="K752" s="506">
        <f t="shared" si="48"/>
        <v>1</v>
      </c>
    </row>
    <row r="753" spans="1:11" ht="21.9" customHeight="1">
      <c r="A753" s="1136"/>
      <c r="B753" s="1130"/>
      <c r="C753" s="493" t="s">
        <v>3145</v>
      </c>
      <c r="D753" s="493" t="s">
        <v>3146</v>
      </c>
      <c r="E753" s="505">
        <v>200000</v>
      </c>
      <c r="F753" s="505">
        <f t="shared" si="45"/>
        <v>200</v>
      </c>
      <c r="G753" s="505">
        <v>169200</v>
      </c>
      <c r="H753" s="505">
        <f t="shared" si="46"/>
        <v>169.2</v>
      </c>
      <c r="I753" s="505">
        <v>169200</v>
      </c>
      <c r="J753" s="505">
        <f t="shared" si="47"/>
        <v>169.2</v>
      </c>
      <c r="K753" s="506">
        <f t="shared" si="48"/>
        <v>1</v>
      </c>
    </row>
    <row r="754" spans="1:11" ht="21.9" customHeight="1">
      <c r="A754" s="1136"/>
      <c r="B754" s="1130"/>
      <c r="C754" s="493" t="s">
        <v>3074</v>
      </c>
      <c r="D754" s="493" t="s">
        <v>3075</v>
      </c>
      <c r="E754" s="505">
        <v>0</v>
      </c>
      <c r="F754" s="505">
        <f t="shared" si="45"/>
        <v>0</v>
      </c>
      <c r="G754" s="505">
        <v>25480</v>
      </c>
      <c r="H754" s="505">
        <f t="shared" si="46"/>
        <v>25.48</v>
      </c>
      <c r="I754" s="505">
        <v>25480</v>
      </c>
      <c r="J754" s="505">
        <f t="shared" si="47"/>
        <v>25.48</v>
      </c>
      <c r="K754" s="506">
        <f t="shared" si="48"/>
        <v>1</v>
      </c>
    </row>
    <row r="755" spans="1:11" ht="21.9" customHeight="1">
      <c r="A755" s="1136" t="s">
        <v>3300</v>
      </c>
      <c r="B755" s="1130" t="s">
        <v>3301</v>
      </c>
      <c r="C755" s="493" t="s">
        <v>3200</v>
      </c>
      <c r="D755" s="493" t="s">
        <v>3201</v>
      </c>
      <c r="E755" s="505">
        <v>0</v>
      </c>
      <c r="F755" s="505">
        <f t="shared" si="45"/>
        <v>0</v>
      </c>
      <c r="G755" s="505">
        <v>1400000</v>
      </c>
      <c r="H755" s="505">
        <f t="shared" si="46"/>
        <v>1400</v>
      </c>
      <c r="I755" s="505">
        <v>1400000</v>
      </c>
      <c r="J755" s="505">
        <f t="shared" si="47"/>
        <v>1400</v>
      </c>
      <c r="K755" s="506">
        <f t="shared" si="48"/>
        <v>1</v>
      </c>
    </row>
    <row r="756" spans="1:11" ht="21.9" customHeight="1">
      <c r="A756" s="1136"/>
      <c r="B756" s="1130"/>
      <c r="C756" s="493" t="s">
        <v>3088</v>
      </c>
      <c r="D756" s="493" t="s">
        <v>3089</v>
      </c>
      <c r="E756" s="505">
        <v>10000000</v>
      </c>
      <c r="F756" s="505">
        <f t="shared" si="45"/>
        <v>10000</v>
      </c>
      <c r="G756" s="505">
        <v>14592690</v>
      </c>
      <c r="H756" s="505">
        <f t="shared" si="46"/>
        <v>14592.69</v>
      </c>
      <c r="I756" s="505">
        <v>14392251</v>
      </c>
      <c r="J756" s="505">
        <f t="shared" si="47"/>
        <v>14392.251</v>
      </c>
      <c r="K756" s="506">
        <f t="shared" si="48"/>
        <v>0.98626442417402138</v>
      </c>
    </row>
    <row r="757" spans="1:11" ht="21.9" customHeight="1">
      <c r="A757" s="1136"/>
      <c r="B757" s="1130"/>
      <c r="C757" s="493" t="s">
        <v>3298</v>
      </c>
      <c r="D757" s="493" t="s">
        <v>3299</v>
      </c>
      <c r="E757" s="505">
        <v>0</v>
      </c>
      <c r="F757" s="505">
        <f t="shared" si="45"/>
        <v>0</v>
      </c>
      <c r="G757" s="505">
        <v>2100000</v>
      </c>
      <c r="H757" s="505">
        <f t="shared" si="46"/>
        <v>2100</v>
      </c>
      <c r="I757" s="505">
        <v>2100000</v>
      </c>
      <c r="J757" s="505">
        <f t="shared" si="47"/>
        <v>2100</v>
      </c>
      <c r="K757" s="506">
        <f t="shared" si="48"/>
        <v>1</v>
      </c>
    </row>
    <row r="758" spans="1:11" ht="21.9" customHeight="1">
      <c r="A758" s="1136" t="s">
        <v>3302</v>
      </c>
      <c r="B758" s="1130" t="s">
        <v>3303</v>
      </c>
      <c r="C758" s="493" t="s">
        <v>3088</v>
      </c>
      <c r="D758" s="493" t="s">
        <v>3089</v>
      </c>
      <c r="E758" s="505">
        <v>18500000</v>
      </c>
      <c r="F758" s="505">
        <f t="shared" si="45"/>
        <v>18500</v>
      </c>
      <c r="G758" s="505">
        <v>21087310</v>
      </c>
      <c r="H758" s="505">
        <f t="shared" si="46"/>
        <v>21087.31</v>
      </c>
      <c r="I758" s="505">
        <v>21087000</v>
      </c>
      <c r="J758" s="505">
        <f t="shared" si="47"/>
        <v>21087</v>
      </c>
      <c r="K758" s="506">
        <f t="shared" si="48"/>
        <v>0.99998529921549972</v>
      </c>
    </row>
    <row r="759" spans="1:11" ht="21.9" customHeight="1">
      <c r="A759" s="1136"/>
      <c r="B759" s="1130"/>
      <c r="C759" s="493" t="s">
        <v>3298</v>
      </c>
      <c r="D759" s="493" t="s">
        <v>3299</v>
      </c>
      <c r="E759" s="505">
        <v>0</v>
      </c>
      <c r="F759" s="505">
        <f t="shared" si="45"/>
        <v>0</v>
      </c>
      <c r="G759" s="505">
        <v>2400000</v>
      </c>
      <c r="H759" s="505">
        <f t="shared" si="46"/>
        <v>2400</v>
      </c>
      <c r="I759" s="505">
        <v>2400000</v>
      </c>
      <c r="J759" s="505">
        <f t="shared" si="47"/>
        <v>2400</v>
      </c>
      <c r="K759" s="506">
        <f t="shared" si="48"/>
        <v>1</v>
      </c>
    </row>
    <row r="760" spans="1:11" ht="21.9" customHeight="1">
      <c r="A760" s="509" t="s">
        <v>3495</v>
      </c>
      <c r="B760" s="493" t="s">
        <v>3496</v>
      </c>
      <c r="C760" s="493" t="s">
        <v>3088</v>
      </c>
      <c r="D760" s="493" t="s">
        <v>3089</v>
      </c>
      <c r="E760" s="505">
        <v>0</v>
      </c>
      <c r="F760" s="505">
        <f t="shared" si="45"/>
        <v>0</v>
      </c>
      <c r="G760" s="505">
        <v>90000</v>
      </c>
      <c r="H760" s="505">
        <f t="shared" si="46"/>
        <v>90</v>
      </c>
      <c r="I760" s="505">
        <v>90000</v>
      </c>
      <c r="J760" s="505">
        <f t="shared" si="47"/>
        <v>90</v>
      </c>
      <c r="K760" s="506">
        <f t="shared" si="48"/>
        <v>1</v>
      </c>
    </row>
    <row r="761" spans="1:11" ht="21.9" customHeight="1">
      <c r="A761" s="1136" t="s">
        <v>3497</v>
      </c>
      <c r="B761" s="1130" t="s">
        <v>3498</v>
      </c>
      <c r="C761" s="493" t="s">
        <v>3115</v>
      </c>
      <c r="D761" s="493" t="s">
        <v>1492</v>
      </c>
      <c r="E761" s="505">
        <v>0</v>
      </c>
      <c r="F761" s="505">
        <f t="shared" si="45"/>
        <v>0</v>
      </c>
      <c r="G761" s="505">
        <v>46000</v>
      </c>
      <c r="H761" s="505">
        <f t="shared" si="46"/>
        <v>46</v>
      </c>
      <c r="I761" s="505">
        <v>46000</v>
      </c>
      <c r="J761" s="505">
        <f t="shared" si="47"/>
        <v>46</v>
      </c>
      <c r="K761" s="506">
        <f t="shared" si="48"/>
        <v>1</v>
      </c>
    </row>
    <row r="762" spans="1:11" ht="21.9" customHeight="1">
      <c r="A762" s="1136"/>
      <c r="B762" s="1130"/>
      <c r="C762" s="493">
        <v>5169</v>
      </c>
      <c r="D762" s="493" t="s">
        <v>3075</v>
      </c>
      <c r="E762" s="505">
        <v>1130000</v>
      </c>
      <c r="F762" s="505">
        <f t="shared" si="45"/>
        <v>1130</v>
      </c>
      <c r="G762" s="505">
        <v>0</v>
      </c>
      <c r="H762" s="505">
        <f t="shared" si="46"/>
        <v>0</v>
      </c>
      <c r="I762" s="505">
        <v>0</v>
      </c>
      <c r="J762" s="505">
        <f t="shared" si="47"/>
        <v>0</v>
      </c>
      <c r="K762" s="510" t="s">
        <v>1147</v>
      </c>
    </row>
    <row r="763" spans="1:11" ht="21.9" customHeight="1">
      <c r="A763" s="509" t="s">
        <v>3499</v>
      </c>
      <c r="B763" s="493" t="s">
        <v>3500</v>
      </c>
      <c r="C763" s="493" t="s">
        <v>3074</v>
      </c>
      <c r="D763" s="493" t="s">
        <v>3075</v>
      </c>
      <c r="E763" s="505">
        <v>10200000</v>
      </c>
      <c r="F763" s="505">
        <f t="shared" si="45"/>
        <v>10200</v>
      </c>
      <c r="G763" s="505">
        <v>15666351.199999999</v>
      </c>
      <c r="H763" s="505">
        <f t="shared" si="46"/>
        <v>15666.351199999999</v>
      </c>
      <c r="I763" s="505">
        <v>5924515</v>
      </c>
      <c r="J763" s="505">
        <f t="shared" si="47"/>
        <v>5924.5150000000003</v>
      </c>
      <c r="K763" s="506">
        <f t="shared" si="48"/>
        <v>0.37816814677306609</v>
      </c>
    </row>
    <row r="764" spans="1:11" ht="21.9" customHeight="1">
      <c r="A764" s="509" t="s">
        <v>3245</v>
      </c>
      <c r="B764" s="493" t="s">
        <v>3246</v>
      </c>
      <c r="C764" s="493" t="s">
        <v>3096</v>
      </c>
      <c r="D764" s="493" t="s">
        <v>3097</v>
      </c>
      <c r="E764" s="505">
        <v>0</v>
      </c>
      <c r="F764" s="505">
        <f t="shared" si="45"/>
        <v>0</v>
      </c>
      <c r="G764" s="505">
        <v>25000</v>
      </c>
      <c r="H764" s="505">
        <f t="shared" si="46"/>
        <v>25</v>
      </c>
      <c r="I764" s="505">
        <v>25000</v>
      </c>
      <c r="J764" s="505">
        <f t="shared" si="47"/>
        <v>25</v>
      </c>
      <c r="K764" s="506">
        <f t="shared" si="48"/>
        <v>1</v>
      </c>
    </row>
    <row r="765" spans="1:11" ht="21.9" customHeight="1">
      <c r="A765" s="509" t="s">
        <v>3320</v>
      </c>
      <c r="B765" s="493" t="s">
        <v>3321</v>
      </c>
      <c r="C765" s="493" t="s">
        <v>3096</v>
      </c>
      <c r="D765" s="493" t="s">
        <v>3097</v>
      </c>
      <c r="E765" s="505">
        <v>0</v>
      </c>
      <c r="F765" s="505">
        <f t="shared" si="45"/>
        <v>0</v>
      </c>
      <c r="G765" s="505">
        <v>83000</v>
      </c>
      <c r="H765" s="505">
        <f t="shared" si="46"/>
        <v>83</v>
      </c>
      <c r="I765" s="505">
        <v>83000</v>
      </c>
      <c r="J765" s="505">
        <f t="shared" si="47"/>
        <v>83</v>
      </c>
      <c r="K765" s="506">
        <f t="shared" si="48"/>
        <v>1</v>
      </c>
    </row>
    <row r="766" spans="1:11" ht="21.9" customHeight="1">
      <c r="A766" s="509" t="s">
        <v>3236</v>
      </c>
      <c r="B766" s="493" t="s">
        <v>3237</v>
      </c>
      <c r="C766" s="493" t="s">
        <v>3074</v>
      </c>
      <c r="D766" s="493" t="s">
        <v>3075</v>
      </c>
      <c r="E766" s="505">
        <v>900000</v>
      </c>
      <c r="F766" s="505">
        <f t="shared" si="45"/>
        <v>900</v>
      </c>
      <c r="G766" s="505">
        <v>0</v>
      </c>
      <c r="H766" s="505">
        <f t="shared" si="46"/>
        <v>0</v>
      </c>
      <c r="I766" s="505">
        <v>0</v>
      </c>
      <c r="J766" s="505">
        <f t="shared" si="47"/>
        <v>0</v>
      </c>
      <c r="K766" s="510" t="s">
        <v>1147</v>
      </c>
    </row>
    <row r="767" spans="1:11" ht="21.9" customHeight="1">
      <c r="A767" s="1136" t="s">
        <v>3236</v>
      </c>
      <c r="B767" s="1130" t="s">
        <v>3237</v>
      </c>
      <c r="C767" s="493" t="s">
        <v>3124</v>
      </c>
      <c r="D767" s="493" t="s">
        <v>3125</v>
      </c>
      <c r="E767" s="505">
        <v>0</v>
      </c>
      <c r="F767" s="505">
        <f t="shared" si="45"/>
        <v>0</v>
      </c>
      <c r="G767" s="505">
        <v>56000</v>
      </c>
      <c r="H767" s="505">
        <f t="shared" si="46"/>
        <v>56</v>
      </c>
      <c r="I767" s="505">
        <v>0</v>
      </c>
      <c r="J767" s="505">
        <f t="shared" si="47"/>
        <v>0</v>
      </c>
      <c r="K767" s="506">
        <f t="shared" si="48"/>
        <v>0</v>
      </c>
    </row>
    <row r="768" spans="1:11" ht="21.9" customHeight="1">
      <c r="A768" s="1136"/>
      <c r="B768" s="1130"/>
      <c r="C768" s="493" t="s">
        <v>3187</v>
      </c>
      <c r="D768" s="493" t="s">
        <v>3188</v>
      </c>
      <c r="E768" s="505">
        <v>0</v>
      </c>
      <c r="F768" s="505">
        <f t="shared" si="45"/>
        <v>0</v>
      </c>
      <c r="G768" s="505">
        <v>1444000</v>
      </c>
      <c r="H768" s="505">
        <f t="shared" si="46"/>
        <v>1444</v>
      </c>
      <c r="I768" s="505">
        <v>1444000</v>
      </c>
      <c r="J768" s="505">
        <f t="shared" si="47"/>
        <v>1444</v>
      </c>
      <c r="K768" s="506">
        <f t="shared" si="48"/>
        <v>1</v>
      </c>
    </row>
    <row r="769" spans="1:11" ht="21.9" customHeight="1">
      <c r="A769" s="509" t="s">
        <v>3501</v>
      </c>
      <c r="B769" s="493" t="s">
        <v>3502</v>
      </c>
      <c r="C769" s="493" t="s">
        <v>3074</v>
      </c>
      <c r="D769" s="493" t="s">
        <v>3075</v>
      </c>
      <c r="E769" s="505">
        <v>20000</v>
      </c>
      <c r="F769" s="505">
        <f t="shared" si="45"/>
        <v>20</v>
      </c>
      <c r="G769" s="505">
        <v>0</v>
      </c>
      <c r="H769" s="505">
        <f t="shared" si="46"/>
        <v>0</v>
      </c>
      <c r="I769" s="505">
        <v>0</v>
      </c>
      <c r="J769" s="505">
        <f t="shared" si="47"/>
        <v>0</v>
      </c>
      <c r="K769" s="510" t="s">
        <v>1147</v>
      </c>
    </row>
    <row r="770" spans="1:11" ht="21.9" customHeight="1">
      <c r="A770" s="509" t="s">
        <v>3503</v>
      </c>
      <c r="B770" s="493" t="s">
        <v>3504</v>
      </c>
      <c r="C770" s="493" t="s">
        <v>3505</v>
      </c>
      <c r="D770" s="493" t="s">
        <v>3506</v>
      </c>
      <c r="E770" s="505">
        <v>0</v>
      </c>
      <c r="F770" s="505">
        <f t="shared" si="45"/>
        <v>0</v>
      </c>
      <c r="G770" s="505">
        <v>201000</v>
      </c>
      <c r="H770" s="505">
        <f t="shared" si="46"/>
        <v>201</v>
      </c>
      <c r="I770" s="505">
        <v>201000</v>
      </c>
      <c r="J770" s="505">
        <f t="shared" si="47"/>
        <v>201</v>
      </c>
      <c r="K770" s="506">
        <f t="shared" si="48"/>
        <v>1</v>
      </c>
    </row>
    <row r="771" spans="1:11" ht="21.9" customHeight="1">
      <c r="A771" s="1136" t="s">
        <v>3507</v>
      </c>
      <c r="B771" s="1130" t="s">
        <v>3508</v>
      </c>
      <c r="C771" s="493" t="s">
        <v>3092</v>
      </c>
      <c r="D771" s="493" t="s">
        <v>3093</v>
      </c>
      <c r="E771" s="505">
        <v>0</v>
      </c>
      <c r="F771" s="505">
        <f t="shared" si="45"/>
        <v>0</v>
      </c>
      <c r="G771" s="505">
        <v>2000000</v>
      </c>
      <c r="H771" s="505">
        <f t="shared" si="46"/>
        <v>2000</v>
      </c>
      <c r="I771" s="505">
        <v>931200</v>
      </c>
      <c r="J771" s="505">
        <f t="shared" si="47"/>
        <v>931.2</v>
      </c>
      <c r="K771" s="506">
        <f t="shared" si="48"/>
        <v>0.46560000000000001</v>
      </c>
    </row>
    <row r="772" spans="1:11" ht="21.9" customHeight="1">
      <c r="A772" s="1136"/>
      <c r="B772" s="1130"/>
      <c r="C772" s="493" t="s">
        <v>3088</v>
      </c>
      <c r="D772" s="493" t="s">
        <v>3089</v>
      </c>
      <c r="E772" s="505">
        <v>0</v>
      </c>
      <c r="F772" s="505">
        <f t="shared" si="45"/>
        <v>0</v>
      </c>
      <c r="G772" s="505">
        <v>80000</v>
      </c>
      <c r="H772" s="505">
        <f t="shared" si="46"/>
        <v>80</v>
      </c>
      <c r="I772" s="505">
        <v>80000</v>
      </c>
      <c r="J772" s="505">
        <f t="shared" si="47"/>
        <v>80</v>
      </c>
      <c r="K772" s="506">
        <f t="shared" si="48"/>
        <v>1</v>
      </c>
    </row>
    <row r="773" spans="1:11" ht="21.9" customHeight="1">
      <c r="A773" s="509" t="s">
        <v>3509</v>
      </c>
      <c r="B773" s="493" t="s">
        <v>3510</v>
      </c>
      <c r="C773" s="493" t="s">
        <v>3074</v>
      </c>
      <c r="D773" s="493" t="s">
        <v>3075</v>
      </c>
      <c r="E773" s="505">
        <v>400000</v>
      </c>
      <c r="F773" s="505">
        <f t="shared" si="45"/>
        <v>400</v>
      </c>
      <c r="G773" s="505">
        <v>350000</v>
      </c>
      <c r="H773" s="505">
        <f t="shared" si="46"/>
        <v>350</v>
      </c>
      <c r="I773" s="505">
        <v>350000</v>
      </c>
      <c r="J773" s="505">
        <f t="shared" si="47"/>
        <v>350</v>
      </c>
      <c r="K773" s="506">
        <f t="shared" si="48"/>
        <v>1</v>
      </c>
    </row>
    <row r="774" spans="1:11" ht="21.9" customHeight="1">
      <c r="A774" s="1136" t="s">
        <v>3511</v>
      </c>
      <c r="B774" s="1130" t="s">
        <v>3512</v>
      </c>
      <c r="C774" s="493" t="s">
        <v>3092</v>
      </c>
      <c r="D774" s="493" t="s">
        <v>3093</v>
      </c>
      <c r="E774" s="505">
        <v>0</v>
      </c>
      <c r="F774" s="505">
        <f t="shared" si="45"/>
        <v>0</v>
      </c>
      <c r="G774" s="505">
        <v>102000</v>
      </c>
      <c r="H774" s="505">
        <f t="shared" si="46"/>
        <v>102</v>
      </c>
      <c r="I774" s="505">
        <v>102000</v>
      </c>
      <c r="J774" s="505">
        <f t="shared" si="47"/>
        <v>102</v>
      </c>
      <c r="K774" s="506">
        <f t="shared" si="48"/>
        <v>1</v>
      </c>
    </row>
    <row r="775" spans="1:11" ht="21.9" customHeight="1">
      <c r="A775" s="1136"/>
      <c r="B775" s="1130"/>
      <c r="C775" s="493" t="s">
        <v>3074</v>
      </c>
      <c r="D775" s="493" t="s">
        <v>3075</v>
      </c>
      <c r="E775" s="505">
        <v>100000</v>
      </c>
      <c r="F775" s="505">
        <f t="shared" ref="F775:F811" si="49">E775/1000</f>
        <v>100</v>
      </c>
      <c r="G775" s="505">
        <v>100000</v>
      </c>
      <c r="H775" s="505">
        <f t="shared" ref="H775:H811" si="50">G775/1000</f>
        <v>100</v>
      </c>
      <c r="I775" s="505">
        <v>100000</v>
      </c>
      <c r="J775" s="505">
        <f t="shared" ref="J775:J811" si="51">I775/1000</f>
        <v>100</v>
      </c>
      <c r="K775" s="506">
        <f t="shared" si="48"/>
        <v>1</v>
      </c>
    </row>
    <row r="776" spans="1:11" ht="21.9" customHeight="1">
      <c r="A776" s="1136" t="s">
        <v>3434</v>
      </c>
      <c r="B776" s="1130" t="s">
        <v>3435</v>
      </c>
      <c r="C776" s="493" t="s">
        <v>3115</v>
      </c>
      <c r="D776" s="493" t="s">
        <v>1492</v>
      </c>
      <c r="E776" s="505">
        <v>0</v>
      </c>
      <c r="F776" s="505">
        <f t="shared" si="49"/>
        <v>0</v>
      </c>
      <c r="G776" s="505">
        <v>29000</v>
      </c>
      <c r="H776" s="505">
        <f t="shared" si="50"/>
        <v>29</v>
      </c>
      <c r="I776" s="505">
        <v>29000</v>
      </c>
      <c r="J776" s="505">
        <f t="shared" si="51"/>
        <v>29</v>
      </c>
      <c r="K776" s="506">
        <f t="shared" si="48"/>
        <v>1</v>
      </c>
    </row>
    <row r="777" spans="1:11" ht="21.9" customHeight="1">
      <c r="A777" s="1136"/>
      <c r="B777" s="1130"/>
      <c r="C777" s="493" t="s">
        <v>3074</v>
      </c>
      <c r="D777" s="493" t="s">
        <v>3075</v>
      </c>
      <c r="E777" s="505">
        <v>1425000</v>
      </c>
      <c r="F777" s="505">
        <f t="shared" si="49"/>
        <v>1425</v>
      </c>
      <c r="G777" s="505">
        <v>3209500.5</v>
      </c>
      <c r="H777" s="505">
        <f t="shared" si="50"/>
        <v>3209.5005000000001</v>
      </c>
      <c r="I777" s="505">
        <v>3209500.5</v>
      </c>
      <c r="J777" s="505">
        <f t="shared" si="51"/>
        <v>3209.5005000000001</v>
      </c>
      <c r="K777" s="506">
        <f t="shared" si="48"/>
        <v>1</v>
      </c>
    </row>
    <row r="778" spans="1:11" ht="21.9" customHeight="1">
      <c r="A778" s="1136"/>
      <c r="B778" s="1130"/>
      <c r="C778" s="493" t="s">
        <v>3124</v>
      </c>
      <c r="D778" s="493" t="s">
        <v>3125</v>
      </c>
      <c r="E778" s="505">
        <v>0</v>
      </c>
      <c r="F778" s="505">
        <f t="shared" si="49"/>
        <v>0</v>
      </c>
      <c r="G778" s="505">
        <v>271640</v>
      </c>
      <c r="H778" s="505">
        <f t="shared" si="50"/>
        <v>271.64</v>
      </c>
      <c r="I778" s="505">
        <v>271640</v>
      </c>
      <c r="J778" s="505">
        <f t="shared" si="51"/>
        <v>271.64</v>
      </c>
      <c r="K778" s="506">
        <f t="shared" si="48"/>
        <v>1</v>
      </c>
    </row>
    <row r="779" spans="1:11" ht="21.9" customHeight="1">
      <c r="A779" s="1136"/>
      <c r="B779" s="1130"/>
      <c r="C779" s="493" t="s">
        <v>3082</v>
      </c>
      <c r="D779" s="493" t="s">
        <v>3083</v>
      </c>
      <c r="E779" s="505">
        <v>0</v>
      </c>
      <c r="F779" s="505">
        <f t="shared" si="49"/>
        <v>0</v>
      </c>
      <c r="G779" s="505">
        <v>99000</v>
      </c>
      <c r="H779" s="505">
        <f t="shared" si="50"/>
        <v>99</v>
      </c>
      <c r="I779" s="505">
        <v>99000</v>
      </c>
      <c r="J779" s="505">
        <f t="shared" si="51"/>
        <v>99</v>
      </c>
      <c r="K779" s="506">
        <f t="shared" si="48"/>
        <v>1</v>
      </c>
    </row>
    <row r="780" spans="1:11" ht="21.9" customHeight="1">
      <c r="A780" s="1136"/>
      <c r="B780" s="1130"/>
      <c r="C780" s="493" t="s">
        <v>3187</v>
      </c>
      <c r="D780" s="493" t="s">
        <v>3188</v>
      </c>
      <c r="E780" s="505">
        <v>0</v>
      </c>
      <c r="F780" s="505">
        <f t="shared" si="49"/>
        <v>0</v>
      </c>
      <c r="G780" s="505">
        <v>109000</v>
      </c>
      <c r="H780" s="505">
        <f t="shared" si="50"/>
        <v>109</v>
      </c>
      <c r="I780" s="505">
        <v>109000</v>
      </c>
      <c r="J780" s="505">
        <f t="shared" si="51"/>
        <v>109</v>
      </c>
      <c r="K780" s="506">
        <f t="shared" si="48"/>
        <v>1</v>
      </c>
    </row>
    <row r="781" spans="1:11" ht="21.9" customHeight="1">
      <c r="A781" s="1136" t="s">
        <v>3513</v>
      </c>
      <c r="B781" s="1130" t="s">
        <v>3514</v>
      </c>
      <c r="C781" s="493" t="s">
        <v>3115</v>
      </c>
      <c r="D781" s="493" t="s">
        <v>1492</v>
      </c>
      <c r="E781" s="505">
        <v>0</v>
      </c>
      <c r="F781" s="505">
        <f t="shared" si="49"/>
        <v>0</v>
      </c>
      <c r="G781" s="505">
        <v>101800</v>
      </c>
      <c r="H781" s="505">
        <f t="shared" si="50"/>
        <v>101.8</v>
      </c>
      <c r="I781" s="505">
        <v>101800</v>
      </c>
      <c r="J781" s="505">
        <f t="shared" si="51"/>
        <v>101.8</v>
      </c>
      <c r="K781" s="506">
        <f t="shared" si="48"/>
        <v>1</v>
      </c>
    </row>
    <row r="782" spans="1:11" ht="21.9" customHeight="1">
      <c r="A782" s="1136"/>
      <c r="B782" s="1130"/>
      <c r="C782" s="493" t="s">
        <v>3092</v>
      </c>
      <c r="D782" s="493" t="s">
        <v>3093</v>
      </c>
      <c r="E782" s="505">
        <v>0</v>
      </c>
      <c r="F782" s="505">
        <f t="shared" si="49"/>
        <v>0</v>
      </c>
      <c r="G782" s="505">
        <v>186400</v>
      </c>
      <c r="H782" s="505">
        <f t="shared" si="50"/>
        <v>186.4</v>
      </c>
      <c r="I782" s="505">
        <v>186400</v>
      </c>
      <c r="J782" s="505">
        <f t="shared" si="51"/>
        <v>186.4</v>
      </c>
      <c r="K782" s="506">
        <f t="shared" si="48"/>
        <v>1</v>
      </c>
    </row>
    <row r="783" spans="1:11" ht="21.9" customHeight="1">
      <c r="A783" s="1136"/>
      <c r="B783" s="1130"/>
      <c r="C783" s="493" t="s">
        <v>3074</v>
      </c>
      <c r="D783" s="493" t="s">
        <v>3075</v>
      </c>
      <c r="E783" s="505">
        <v>1700000</v>
      </c>
      <c r="F783" s="505">
        <f t="shared" si="49"/>
        <v>1700</v>
      </c>
      <c r="G783" s="505">
        <v>1642346.8</v>
      </c>
      <c r="H783" s="505">
        <f t="shared" si="50"/>
        <v>1642.3468</v>
      </c>
      <c r="I783" s="505">
        <v>1571788</v>
      </c>
      <c r="J783" s="505">
        <f t="shared" si="51"/>
        <v>1571.788</v>
      </c>
      <c r="K783" s="506">
        <f t="shared" si="48"/>
        <v>0.95703781929614373</v>
      </c>
    </row>
    <row r="784" spans="1:11" ht="21.9" customHeight="1">
      <c r="A784" s="1136"/>
      <c r="B784" s="1130"/>
      <c r="C784" s="493" t="s">
        <v>3094</v>
      </c>
      <c r="D784" s="493" t="s">
        <v>3095</v>
      </c>
      <c r="E784" s="505">
        <v>0</v>
      </c>
      <c r="F784" s="505">
        <f t="shared" si="49"/>
        <v>0</v>
      </c>
      <c r="G784" s="505">
        <v>10788</v>
      </c>
      <c r="H784" s="505">
        <f t="shared" si="50"/>
        <v>10.788</v>
      </c>
      <c r="I784" s="505">
        <v>10788</v>
      </c>
      <c r="J784" s="505">
        <f t="shared" si="51"/>
        <v>10.788</v>
      </c>
      <c r="K784" s="506">
        <f t="shared" si="48"/>
        <v>1</v>
      </c>
    </row>
    <row r="785" spans="1:11" ht="21.9" customHeight="1">
      <c r="A785" s="1136" t="s">
        <v>3513</v>
      </c>
      <c r="B785" s="1130" t="s">
        <v>3514</v>
      </c>
      <c r="C785" s="493" t="s">
        <v>3082</v>
      </c>
      <c r="D785" s="493" t="s">
        <v>3083</v>
      </c>
      <c r="E785" s="505">
        <v>0</v>
      </c>
      <c r="F785" s="505">
        <f t="shared" si="49"/>
        <v>0</v>
      </c>
      <c r="G785" s="505">
        <v>50000</v>
      </c>
      <c r="H785" s="505">
        <f t="shared" si="50"/>
        <v>50</v>
      </c>
      <c r="I785" s="505">
        <v>50000</v>
      </c>
      <c r="J785" s="505">
        <f t="shared" si="51"/>
        <v>50</v>
      </c>
      <c r="K785" s="506">
        <f t="shared" si="48"/>
        <v>1</v>
      </c>
    </row>
    <row r="786" spans="1:11" ht="21.9" customHeight="1">
      <c r="A786" s="1136"/>
      <c r="B786" s="1130"/>
      <c r="C786" s="493" t="s">
        <v>3102</v>
      </c>
      <c r="D786" s="493" t="s">
        <v>1485</v>
      </c>
      <c r="E786" s="505">
        <v>350000</v>
      </c>
      <c r="F786" s="505">
        <f t="shared" si="49"/>
        <v>350</v>
      </c>
      <c r="G786" s="505">
        <v>336687</v>
      </c>
      <c r="H786" s="505">
        <f t="shared" si="50"/>
        <v>336.68700000000001</v>
      </c>
      <c r="I786" s="505">
        <v>336687</v>
      </c>
      <c r="J786" s="505">
        <f t="shared" si="51"/>
        <v>336.68700000000001</v>
      </c>
      <c r="K786" s="506">
        <f t="shared" si="48"/>
        <v>1</v>
      </c>
    </row>
    <row r="787" spans="1:11" ht="21.9" customHeight="1">
      <c r="A787" s="1136" t="s">
        <v>3332</v>
      </c>
      <c r="B787" s="1130" t="s">
        <v>3333</v>
      </c>
      <c r="C787" s="493" t="s">
        <v>3124</v>
      </c>
      <c r="D787" s="493" t="s">
        <v>3125</v>
      </c>
      <c r="E787" s="505">
        <v>0</v>
      </c>
      <c r="F787" s="505">
        <f t="shared" si="49"/>
        <v>0</v>
      </c>
      <c r="G787" s="505">
        <v>50000</v>
      </c>
      <c r="H787" s="505">
        <f t="shared" si="50"/>
        <v>50</v>
      </c>
      <c r="I787" s="505">
        <v>50000</v>
      </c>
      <c r="J787" s="505">
        <f t="shared" si="51"/>
        <v>50</v>
      </c>
      <c r="K787" s="506">
        <f t="shared" si="48"/>
        <v>1</v>
      </c>
    </row>
    <row r="788" spans="1:11" ht="21.9" customHeight="1">
      <c r="A788" s="1136"/>
      <c r="B788" s="1130"/>
      <c r="C788" s="493" t="s">
        <v>3082</v>
      </c>
      <c r="D788" s="493" t="s">
        <v>3083</v>
      </c>
      <c r="E788" s="505">
        <v>0</v>
      </c>
      <c r="F788" s="505">
        <f t="shared" si="49"/>
        <v>0</v>
      </c>
      <c r="G788" s="505">
        <v>598760</v>
      </c>
      <c r="H788" s="505">
        <f t="shared" si="50"/>
        <v>598.76</v>
      </c>
      <c r="I788" s="505">
        <v>595416</v>
      </c>
      <c r="J788" s="505">
        <f t="shared" si="51"/>
        <v>595.41600000000005</v>
      </c>
      <c r="K788" s="506">
        <f t="shared" si="48"/>
        <v>0.99441512459082104</v>
      </c>
    </row>
    <row r="789" spans="1:11" ht="21.9" customHeight="1">
      <c r="A789" s="1136" t="s">
        <v>3515</v>
      </c>
      <c r="B789" s="1130" t="s">
        <v>3516</v>
      </c>
      <c r="C789" s="493" t="s">
        <v>3145</v>
      </c>
      <c r="D789" s="493" t="s">
        <v>3146</v>
      </c>
      <c r="E789" s="505">
        <v>400000</v>
      </c>
      <c r="F789" s="505">
        <f t="shared" si="49"/>
        <v>400</v>
      </c>
      <c r="G789" s="505">
        <v>272040</v>
      </c>
      <c r="H789" s="505">
        <f t="shared" si="50"/>
        <v>272.04000000000002</v>
      </c>
      <c r="I789" s="505">
        <v>272040</v>
      </c>
      <c r="J789" s="505">
        <f t="shared" si="51"/>
        <v>272.04000000000002</v>
      </c>
      <c r="K789" s="506">
        <f t="shared" si="48"/>
        <v>1</v>
      </c>
    </row>
    <row r="790" spans="1:11" ht="21.9" customHeight="1">
      <c r="A790" s="1136"/>
      <c r="B790" s="1130"/>
      <c r="C790" s="493" t="s">
        <v>3074</v>
      </c>
      <c r="D790" s="493" t="s">
        <v>3075</v>
      </c>
      <c r="E790" s="505">
        <v>0</v>
      </c>
      <c r="F790" s="505">
        <f t="shared" si="49"/>
        <v>0</v>
      </c>
      <c r="G790" s="505">
        <v>36200</v>
      </c>
      <c r="H790" s="505">
        <f t="shared" si="50"/>
        <v>36.200000000000003</v>
      </c>
      <c r="I790" s="505">
        <v>36200</v>
      </c>
      <c r="J790" s="505">
        <f t="shared" si="51"/>
        <v>36.200000000000003</v>
      </c>
      <c r="K790" s="506">
        <f t="shared" si="48"/>
        <v>1</v>
      </c>
    </row>
    <row r="791" spans="1:11" ht="21.9" customHeight="1">
      <c r="A791" s="1136"/>
      <c r="B791" s="1130"/>
      <c r="C791" s="493" t="s">
        <v>3183</v>
      </c>
      <c r="D791" s="493" t="s">
        <v>3184</v>
      </c>
      <c r="E791" s="505">
        <v>0</v>
      </c>
      <c r="F791" s="505">
        <f t="shared" si="49"/>
        <v>0</v>
      </c>
      <c r="G791" s="505">
        <v>147111</v>
      </c>
      <c r="H791" s="505">
        <f t="shared" si="50"/>
        <v>147.11099999999999</v>
      </c>
      <c r="I791" s="505">
        <v>147111</v>
      </c>
      <c r="J791" s="505">
        <f t="shared" si="51"/>
        <v>147.11099999999999</v>
      </c>
      <c r="K791" s="506">
        <f t="shared" si="48"/>
        <v>1</v>
      </c>
    </row>
    <row r="792" spans="1:11" ht="21.9" customHeight="1">
      <c r="A792" s="1136"/>
      <c r="B792" s="1130"/>
      <c r="C792" s="493" t="s">
        <v>3185</v>
      </c>
      <c r="D792" s="493" t="s">
        <v>3186</v>
      </c>
      <c r="E792" s="505">
        <v>0</v>
      </c>
      <c r="F792" s="505">
        <f t="shared" si="49"/>
        <v>0</v>
      </c>
      <c r="G792" s="505">
        <v>2152824.2199999997</v>
      </c>
      <c r="H792" s="505">
        <f t="shared" si="50"/>
        <v>2152.8242199999995</v>
      </c>
      <c r="I792" s="505">
        <v>2152824.2199999997</v>
      </c>
      <c r="J792" s="505">
        <f t="shared" si="51"/>
        <v>2152.8242199999995</v>
      </c>
      <c r="K792" s="506">
        <f t="shared" si="48"/>
        <v>1</v>
      </c>
    </row>
    <row r="793" spans="1:11" ht="21.9" customHeight="1">
      <c r="A793" s="1136"/>
      <c r="B793" s="1130"/>
      <c r="C793" s="493" t="s">
        <v>3124</v>
      </c>
      <c r="D793" s="493" t="s">
        <v>3125</v>
      </c>
      <c r="E793" s="505">
        <v>0</v>
      </c>
      <c r="F793" s="505">
        <f t="shared" si="49"/>
        <v>0</v>
      </c>
      <c r="G793" s="505">
        <v>21600</v>
      </c>
      <c r="H793" s="505">
        <f t="shared" si="50"/>
        <v>21.6</v>
      </c>
      <c r="I793" s="505">
        <v>21600</v>
      </c>
      <c r="J793" s="505">
        <f t="shared" si="51"/>
        <v>21.6</v>
      </c>
      <c r="K793" s="506">
        <f t="shared" si="48"/>
        <v>1</v>
      </c>
    </row>
    <row r="794" spans="1:11" ht="21.9" customHeight="1">
      <c r="A794" s="1136"/>
      <c r="B794" s="1130"/>
      <c r="C794" s="493" t="s">
        <v>3187</v>
      </c>
      <c r="D794" s="493" t="s">
        <v>3188</v>
      </c>
      <c r="E794" s="505">
        <v>0</v>
      </c>
      <c r="F794" s="505">
        <f t="shared" si="49"/>
        <v>0</v>
      </c>
      <c r="G794" s="505">
        <v>2430</v>
      </c>
      <c r="H794" s="505">
        <f t="shared" si="50"/>
        <v>2.4300000000000002</v>
      </c>
      <c r="I794" s="505">
        <v>2430</v>
      </c>
      <c r="J794" s="505">
        <f t="shared" si="51"/>
        <v>2.4300000000000002</v>
      </c>
      <c r="K794" s="506">
        <f t="shared" si="48"/>
        <v>1</v>
      </c>
    </row>
    <row r="795" spans="1:11" ht="21.9" customHeight="1">
      <c r="A795" s="1136" t="s">
        <v>3517</v>
      </c>
      <c r="B795" s="1130" t="s">
        <v>3518</v>
      </c>
      <c r="C795" s="493" t="s">
        <v>3092</v>
      </c>
      <c r="D795" s="493" t="s">
        <v>3093</v>
      </c>
      <c r="E795" s="505">
        <v>230000</v>
      </c>
      <c r="F795" s="505">
        <f t="shared" si="49"/>
        <v>230</v>
      </c>
      <c r="G795" s="505">
        <v>0</v>
      </c>
      <c r="H795" s="505">
        <f t="shared" si="50"/>
        <v>0</v>
      </c>
      <c r="I795" s="505">
        <v>0</v>
      </c>
      <c r="J795" s="505">
        <f t="shared" si="51"/>
        <v>0</v>
      </c>
      <c r="K795" s="510" t="s">
        <v>1147</v>
      </c>
    </row>
    <row r="796" spans="1:11" ht="21.9" customHeight="1">
      <c r="A796" s="1136"/>
      <c r="B796" s="1130"/>
      <c r="C796" s="493" t="s">
        <v>3074</v>
      </c>
      <c r="D796" s="493" t="s">
        <v>3075</v>
      </c>
      <c r="E796" s="505">
        <v>120000</v>
      </c>
      <c r="F796" s="505">
        <f t="shared" si="49"/>
        <v>120</v>
      </c>
      <c r="G796" s="505">
        <v>400000</v>
      </c>
      <c r="H796" s="505">
        <f t="shared" si="50"/>
        <v>400</v>
      </c>
      <c r="I796" s="505">
        <v>154240</v>
      </c>
      <c r="J796" s="505">
        <f t="shared" si="51"/>
        <v>154.24</v>
      </c>
      <c r="K796" s="506">
        <f t="shared" ref="K796:K806" si="52">I796/G796</f>
        <v>0.3856</v>
      </c>
    </row>
    <row r="797" spans="1:11" ht="21.9" customHeight="1">
      <c r="A797" s="1136"/>
      <c r="B797" s="1130"/>
      <c r="C797" s="493" t="s">
        <v>3076</v>
      </c>
      <c r="D797" s="493" t="s">
        <v>3077</v>
      </c>
      <c r="E797" s="505">
        <v>0</v>
      </c>
      <c r="F797" s="505">
        <f t="shared" si="49"/>
        <v>0</v>
      </c>
      <c r="G797" s="505">
        <v>450</v>
      </c>
      <c r="H797" s="505">
        <f t="shared" si="50"/>
        <v>0.45</v>
      </c>
      <c r="I797" s="505">
        <v>450</v>
      </c>
      <c r="J797" s="505">
        <f t="shared" si="51"/>
        <v>0.45</v>
      </c>
      <c r="K797" s="506">
        <f t="shared" si="52"/>
        <v>1</v>
      </c>
    </row>
    <row r="798" spans="1:11" ht="21.9" customHeight="1">
      <c r="A798" s="509" t="s">
        <v>3519</v>
      </c>
      <c r="B798" s="493" t="s">
        <v>3520</v>
      </c>
      <c r="C798" s="493" t="s">
        <v>3115</v>
      </c>
      <c r="D798" s="493" t="s">
        <v>1492</v>
      </c>
      <c r="E798" s="505">
        <v>0</v>
      </c>
      <c r="F798" s="505">
        <f t="shared" si="49"/>
        <v>0</v>
      </c>
      <c r="G798" s="505">
        <v>22350</v>
      </c>
      <c r="H798" s="505">
        <f t="shared" si="50"/>
        <v>22.35</v>
      </c>
      <c r="I798" s="505">
        <v>22350</v>
      </c>
      <c r="J798" s="505">
        <f t="shared" si="51"/>
        <v>22.35</v>
      </c>
      <c r="K798" s="506">
        <f t="shared" si="52"/>
        <v>1</v>
      </c>
    </row>
    <row r="799" spans="1:11" ht="21.9" customHeight="1">
      <c r="A799" s="1136" t="s">
        <v>3521</v>
      </c>
      <c r="B799" s="1130" t="s">
        <v>3522</v>
      </c>
      <c r="C799" s="493" t="s">
        <v>3074</v>
      </c>
      <c r="D799" s="493" t="s">
        <v>3075</v>
      </c>
      <c r="E799" s="505">
        <v>2450000</v>
      </c>
      <c r="F799" s="505">
        <f t="shared" si="49"/>
        <v>2450</v>
      </c>
      <c r="G799" s="505">
        <v>222000</v>
      </c>
      <c r="H799" s="505">
        <f t="shared" si="50"/>
        <v>222</v>
      </c>
      <c r="I799" s="505">
        <v>208500</v>
      </c>
      <c r="J799" s="505">
        <f t="shared" si="51"/>
        <v>208.5</v>
      </c>
      <c r="K799" s="506">
        <f t="shared" si="52"/>
        <v>0.93918918918918914</v>
      </c>
    </row>
    <row r="800" spans="1:11" ht="21.9" customHeight="1">
      <c r="A800" s="1136"/>
      <c r="B800" s="1130"/>
      <c r="C800" s="493" t="s">
        <v>3183</v>
      </c>
      <c r="D800" s="493" t="s">
        <v>3184</v>
      </c>
      <c r="E800" s="505">
        <v>0</v>
      </c>
      <c r="F800" s="505">
        <f t="shared" si="49"/>
        <v>0</v>
      </c>
      <c r="G800" s="505">
        <v>50000</v>
      </c>
      <c r="H800" s="505">
        <f t="shared" si="50"/>
        <v>50</v>
      </c>
      <c r="I800" s="505">
        <v>50000</v>
      </c>
      <c r="J800" s="505">
        <f t="shared" si="51"/>
        <v>50</v>
      </c>
      <c r="K800" s="506">
        <f t="shared" si="52"/>
        <v>1</v>
      </c>
    </row>
    <row r="801" spans="1:11" ht="21.9" customHeight="1">
      <c r="A801" s="1136"/>
      <c r="B801" s="1130"/>
      <c r="C801" s="493" t="s">
        <v>3185</v>
      </c>
      <c r="D801" s="493" t="s">
        <v>3186</v>
      </c>
      <c r="E801" s="505">
        <v>0</v>
      </c>
      <c r="F801" s="505">
        <f t="shared" si="49"/>
        <v>0</v>
      </c>
      <c r="G801" s="505">
        <v>50000</v>
      </c>
      <c r="H801" s="505">
        <f t="shared" si="50"/>
        <v>50</v>
      </c>
      <c r="I801" s="505">
        <v>50000</v>
      </c>
      <c r="J801" s="505">
        <f t="shared" si="51"/>
        <v>50</v>
      </c>
      <c r="K801" s="506">
        <f t="shared" si="52"/>
        <v>1</v>
      </c>
    </row>
    <row r="802" spans="1:11" ht="21.9" customHeight="1">
      <c r="A802" s="1136"/>
      <c r="B802" s="1130"/>
      <c r="C802" s="493" t="s">
        <v>3212</v>
      </c>
      <c r="D802" s="493" t="s">
        <v>3213</v>
      </c>
      <c r="E802" s="505">
        <v>0</v>
      </c>
      <c r="F802" s="505">
        <f t="shared" si="49"/>
        <v>0</v>
      </c>
      <c r="G802" s="505">
        <v>35000</v>
      </c>
      <c r="H802" s="505">
        <f t="shared" si="50"/>
        <v>35</v>
      </c>
      <c r="I802" s="505">
        <v>35000</v>
      </c>
      <c r="J802" s="505">
        <f t="shared" si="51"/>
        <v>35</v>
      </c>
      <c r="K802" s="506">
        <f t="shared" si="52"/>
        <v>1</v>
      </c>
    </row>
    <row r="803" spans="1:11" ht="21.9" customHeight="1">
      <c r="A803" s="1136"/>
      <c r="B803" s="1130"/>
      <c r="C803" s="493" t="s">
        <v>3124</v>
      </c>
      <c r="D803" s="493" t="s">
        <v>3125</v>
      </c>
      <c r="E803" s="505">
        <v>2000000</v>
      </c>
      <c r="F803" s="505">
        <f t="shared" si="49"/>
        <v>2000</v>
      </c>
      <c r="G803" s="505">
        <v>2532000</v>
      </c>
      <c r="H803" s="505">
        <f t="shared" si="50"/>
        <v>2532</v>
      </c>
      <c r="I803" s="505">
        <v>2532000</v>
      </c>
      <c r="J803" s="505">
        <f t="shared" si="51"/>
        <v>2532</v>
      </c>
      <c r="K803" s="506">
        <f t="shared" si="52"/>
        <v>1</v>
      </c>
    </row>
    <row r="804" spans="1:11" ht="21.9" customHeight="1">
      <c r="A804" s="1136"/>
      <c r="B804" s="1130"/>
      <c r="C804" s="493" t="s">
        <v>3082</v>
      </c>
      <c r="D804" s="493" t="s">
        <v>3083</v>
      </c>
      <c r="E804" s="505">
        <v>0</v>
      </c>
      <c r="F804" s="505">
        <f t="shared" si="49"/>
        <v>0</v>
      </c>
      <c r="G804" s="505">
        <v>35000</v>
      </c>
      <c r="H804" s="505">
        <f t="shared" si="50"/>
        <v>35</v>
      </c>
      <c r="I804" s="505">
        <v>35000</v>
      </c>
      <c r="J804" s="505">
        <f t="shared" si="51"/>
        <v>35</v>
      </c>
      <c r="K804" s="506">
        <f t="shared" si="52"/>
        <v>1</v>
      </c>
    </row>
    <row r="805" spans="1:11" ht="21.9" customHeight="1">
      <c r="A805" s="1136" t="s">
        <v>3523</v>
      </c>
      <c r="B805" s="1130" t="s">
        <v>3524</v>
      </c>
      <c r="C805" s="493" t="s">
        <v>3212</v>
      </c>
      <c r="D805" s="493" t="s">
        <v>3213</v>
      </c>
      <c r="E805" s="505">
        <v>0</v>
      </c>
      <c r="F805" s="505">
        <f t="shared" si="49"/>
        <v>0</v>
      </c>
      <c r="G805" s="505">
        <v>45000</v>
      </c>
      <c r="H805" s="505">
        <f t="shared" si="50"/>
        <v>45</v>
      </c>
      <c r="I805" s="505">
        <v>45000</v>
      </c>
      <c r="J805" s="505">
        <f t="shared" si="51"/>
        <v>45</v>
      </c>
      <c r="K805" s="506">
        <f t="shared" si="52"/>
        <v>1</v>
      </c>
    </row>
    <row r="806" spans="1:11" ht="21.9" customHeight="1">
      <c r="A806" s="1136"/>
      <c r="B806" s="1130"/>
      <c r="C806" s="493" t="s">
        <v>3124</v>
      </c>
      <c r="D806" s="493" t="s">
        <v>3125</v>
      </c>
      <c r="E806" s="505">
        <v>0</v>
      </c>
      <c r="F806" s="505">
        <f t="shared" si="49"/>
        <v>0</v>
      </c>
      <c r="G806" s="505">
        <v>230000</v>
      </c>
      <c r="H806" s="505">
        <f t="shared" si="50"/>
        <v>230</v>
      </c>
      <c r="I806" s="505">
        <v>230000</v>
      </c>
      <c r="J806" s="505">
        <f t="shared" si="51"/>
        <v>230</v>
      </c>
      <c r="K806" s="506">
        <f t="shared" si="52"/>
        <v>1</v>
      </c>
    </row>
    <row r="807" spans="1:11" ht="21.9" customHeight="1">
      <c r="A807" s="1136" t="s">
        <v>3170</v>
      </c>
      <c r="B807" s="1130" t="s">
        <v>3171</v>
      </c>
      <c r="C807" s="493" t="s">
        <v>3402</v>
      </c>
      <c r="D807" s="493" t="s">
        <v>3403</v>
      </c>
      <c r="E807" s="505">
        <v>10000</v>
      </c>
      <c r="F807" s="505">
        <f t="shared" si="49"/>
        <v>10</v>
      </c>
      <c r="G807" s="505">
        <v>0</v>
      </c>
      <c r="H807" s="505">
        <f t="shared" si="50"/>
        <v>0</v>
      </c>
      <c r="I807" s="505">
        <v>0</v>
      </c>
      <c r="J807" s="505">
        <f t="shared" si="51"/>
        <v>0</v>
      </c>
      <c r="K807" s="510" t="s">
        <v>1147</v>
      </c>
    </row>
    <row r="808" spans="1:11" ht="21.9" customHeight="1">
      <c r="A808" s="1136"/>
      <c r="B808" s="1130"/>
      <c r="C808" s="493" t="s">
        <v>3074</v>
      </c>
      <c r="D808" s="493" t="s">
        <v>3075</v>
      </c>
      <c r="E808" s="505">
        <v>10000</v>
      </c>
      <c r="F808" s="505">
        <f t="shared" si="49"/>
        <v>10</v>
      </c>
      <c r="G808" s="505">
        <v>0</v>
      </c>
      <c r="H808" s="505">
        <f t="shared" si="50"/>
        <v>0</v>
      </c>
      <c r="I808" s="505">
        <v>0</v>
      </c>
      <c r="J808" s="505">
        <f t="shared" si="51"/>
        <v>0</v>
      </c>
      <c r="K808" s="510" t="s">
        <v>1147</v>
      </c>
    </row>
    <row r="809" spans="1:11" ht="21.9" customHeight="1">
      <c r="A809" s="1137" t="s">
        <v>3525</v>
      </c>
      <c r="B809" s="1138"/>
      <c r="C809" s="1138"/>
      <c r="D809" s="1138"/>
      <c r="E809" s="507">
        <v>70250000</v>
      </c>
      <c r="F809" s="507">
        <f t="shared" si="49"/>
        <v>70250</v>
      </c>
      <c r="G809" s="507">
        <v>105010003.92</v>
      </c>
      <c r="H809" s="507">
        <f t="shared" si="50"/>
        <v>105010.00392</v>
      </c>
      <c r="I809" s="507">
        <v>88992619.780000001</v>
      </c>
      <c r="J809" s="507">
        <f t="shared" si="51"/>
        <v>88992.619780000008</v>
      </c>
      <c r="K809" s="508">
        <f>I809/G809</f>
        <v>0.84746801693101015</v>
      </c>
    </row>
    <row r="810" spans="1:11" ht="21.9" customHeight="1">
      <c r="A810" s="1139"/>
      <c r="B810" s="1140"/>
      <c r="C810" s="1140"/>
      <c r="D810" s="1140"/>
      <c r="E810" s="1140"/>
      <c r="F810" s="1140"/>
      <c r="G810" s="1140"/>
      <c r="H810" s="1140"/>
      <c r="I810" s="1140"/>
      <c r="J810" s="1140"/>
      <c r="K810" s="1141"/>
    </row>
    <row r="811" spans="1:11" ht="21.9" customHeight="1" thickBot="1">
      <c r="A811" s="1142" t="s">
        <v>1234</v>
      </c>
      <c r="B811" s="1143"/>
      <c r="C811" s="1143"/>
      <c r="D811" s="1144"/>
      <c r="E811" s="512">
        <v>4268059000</v>
      </c>
      <c r="F811" s="513">
        <f t="shared" si="49"/>
        <v>4268059</v>
      </c>
      <c r="G811" s="513">
        <v>9479476153.3799992</v>
      </c>
      <c r="H811" s="513">
        <f t="shared" si="50"/>
        <v>9479476.1533799991</v>
      </c>
      <c r="I811" s="513">
        <v>8748654454.4799995</v>
      </c>
      <c r="J811" s="514">
        <f t="shared" si="51"/>
        <v>8748654.4544799998</v>
      </c>
      <c r="K811" s="515">
        <f>I811/G811</f>
        <v>0.92290484336105238</v>
      </c>
    </row>
  </sheetData>
  <mergeCells count="348">
    <mergeCell ref="A15:D15"/>
    <mergeCell ref="A16:K16"/>
    <mergeCell ref="A17:A23"/>
    <mergeCell ref="B17:B23"/>
    <mergeCell ref="A25:A28"/>
    <mergeCell ref="B25:B28"/>
    <mergeCell ref="A1:K1"/>
    <mergeCell ref="A3:K3"/>
    <mergeCell ref="A4:B4"/>
    <mergeCell ref="C4:D4"/>
    <mergeCell ref="A5:K5"/>
    <mergeCell ref="A6:A14"/>
    <mergeCell ref="B6:B14"/>
    <mergeCell ref="A40:A47"/>
    <mergeCell ref="B40:B47"/>
    <mergeCell ref="A49:A65"/>
    <mergeCell ref="B49:B65"/>
    <mergeCell ref="A66:D66"/>
    <mergeCell ref="A67:K67"/>
    <mergeCell ref="A29:A31"/>
    <mergeCell ref="B29:B31"/>
    <mergeCell ref="A35:A37"/>
    <mergeCell ref="B35:B37"/>
    <mergeCell ref="A38:D38"/>
    <mergeCell ref="A39:K39"/>
    <mergeCell ref="A80:A81"/>
    <mergeCell ref="B80:B81"/>
    <mergeCell ref="A82:A83"/>
    <mergeCell ref="B82:B83"/>
    <mergeCell ref="A84:A85"/>
    <mergeCell ref="B84:B85"/>
    <mergeCell ref="A68:A70"/>
    <mergeCell ref="B68:B70"/>
    <mergeCell ref="A71:A77"/>
    <mergeCell ref="B71:B77"/>
    <mergeCell ref="A78:A79"/>
    <mergeCell ref="B78:B79"/>
    <mergeCell ref="A94:A120"/>
    <mergeCell ref="B94:B120"/>
    <mergeCell ref="A123:A127"/>
    <mergeCell ref="B123:B127"/>
    <mergeCell ref="A128:A134"/>
    <mergeCell ref="B128:B134"/>
    <mergeCell ref="A86:A87"/>
    <mergeCell ref="B86:B87"/>
    <mergeCell ref="A88:D88"/>
    <mergeCell ref="A89:K89"/>
    <mergeCell ref="A90:A93"/>
    <mergeCell ref="B90:B93"/>
    <mergeCell ref="A141:A150"/>
    <mergeCell ref="B141:B150"/>
    <mergeCell ref="A151:A155"/>
    <mergeCell ref="B151:B155"/>
    <mergeCell ref="A156:A160"/>
    <mergeCell ref="B156:B160"/>
    <mergeCell ref="A135:A136"/>
    <mergeCell ref="B135:B136"/>
    <mergeCell ref="A137:A138"/>
    <mergeCell ref="B137:B138"/>
    <mergeCell ref="A139:A140"/>
    <mergeCell ref="B139:B140"/>
    <mergeCell ref="A183:A184"/>
    <mergeCell ref="B183:B184"/>
    <mergeCell ref="A186:D186"/>
    <mergeCell ref="A187:K187"/>
    <mergeCell ref="A188:A189"/>
    <mergeCell ref="B188:B189"/>
    <mergeCell ref="A161:A167"/>
    <mergeCell ref="B161:B167"/>
    <mergeCell ref="A168:A172"/>
    <mergeCell ref="B168:B172"/>
    <mergeCell ref="A174:A181"/>
    <mergeCell ref="B174:B181"/>
    <mergeCell ref="A199:A202"/>
    <mergeCell ref="B199:B202"/>
    <mergeCell ref="A203:A204"/>
    <mergeCell ref="B203:B204"/>
    <mergeCell ref="A206:A208"/>
    <mergeCell ref="B206:B208"/>
    <mergeCell ref="A190:A193"/>
    <mergeCell ref="B190:B193"/>
    <mergeCell ref="A194:A196"/>
    <mergeCell ref="B194:B196"/>
    <mergeCell ref="A197:A198"/>
    <mergeCell ref="B197:B198"/>
    <mergeCell ref="A215:A216"/>
    <mergeCell ref="B215:B216"/>
    <mergeCell ref="A217:A218"/>
    <mergeCell ref="B217:B218"/>
    <mergeCell ref="A221:D221"/>
    <mergeCell ref="A222:K222"/>
    <mergeCell ref="A209:A210"/>
    <mergeCell ref="B209:B210"/>
    <mergeCell ref="A211:A212"/>
    <mergeCell ref="B211:B212"/>
    <mergeCell ref="A213:A214"/>
    <mergeCell ref="B213:B214"/>
    <mergeCell ref="A239:A240"/>
    <mergeCell ref="B239:B240"/>
    <mergeCell ref="A241:A244"/>
    <mergeCell ref="B241:B244"/>
    <mergeCell ref="A245:D245"/>
    <mergeCell ref="A246:K246"/>
    <mergeCell ref="A226:A227"/>
    <mergeCell ref="B226:B227"/>
    <mergeCell ref="A234:A235"/>
    <mergeCell ref="B234:B235"/>
    <mergeCell ref="A236:A237"/>
    <mergeCell ref="B236:B237"/>
    <mergeCell ref="A258:A259"/>
    <mergeCell ref="B258:B259"/>
    <mergeCell ref="A260:A261"/>
    <mergeCell ref="B260:B261"/>
    <mergeCell ref="A262:A263"/>
    <mergeCell ref="B262:B263"/>
    <mergeCell ref="A248:A249"/>
    <mergeCell ref="B248:B249"/>
    <mergeCell ref="A250:A252"/>
    <mergeCell ref="B250:B252"/>
    <mergeCell ref="A256:A257"/>
    <mergeCell ref="B256:B257"/>
    <mergeCell ref="A275:A276"/>
    <mergeCell ref="B275:B276"/>
    <mergeCell ref="A277:A278"/>
    <mergeCell ref="B277:B278"/>
    <mergeCell ref="A279:A280"/>
    <mergeCell ref="B279:B280"/>
    <mergeCell ref="A265:A266"/>
    <mergeCell ref="B265:B266"/>
    <mergeCell ref="A269:A270"/>
    <mergeCell ref="B269:B270"/>
    <mergeCell ref="A273:A274"/>
    <mergeCell ref="B273:B274"/>
    <mergeCell ref="A291:A294"/>
    <mergeCell ref="B291:B294"/>
    <mergeCell ref="A295:A302"/>
    <mergeCell ref="B295:B302"/>
    <mergeCell ref="A303:A311"/>
    <mergeCell ref="B303:B311"/>
    <mergeCell ref="A281:A283"/>
    <mergeCell ref="B281:B283"/>
    <mergeCell ref="A285:A286"/>
    <mergeCell ref="B285:B286"/>
    <mergeCell ref="A289:A290"/>
    <mergeCell ref="B289:B290"/>
    <mergeCell ref="A319:A322"/>
    <mergeCell ref="B319:B322"/>
    <mergeCell ref="A323:A324"/>
    <mergeCell ref="B323:B324"/>
    <mergeCell ref="A325:A326"/>
    <mergeCell ref="B325:B326"/>
    <mergeCell ref="A312:A313"/>
    <mergeCell ref="B312:B313"/>
    <mergeCell ref="A314:A315"/>
    <mergeCell ref="B314:B315"/>
    <mergeCell ref="A316:D316"/>
    <mergeCell ref="A317:K317"/>
    <mergeCell ref="A343:A347"/>
    <mergeCell ref="B343:B347"/>
    <mergeCell ref="A348:A352"/>
    <mergeCell ref="B348:B352"/>
    <mergeCell ref="A354:A355"/>
    <mergeCell ref="B354:B355"/>
    <mergeCell ref="A327:A328"/>
    <mergeCell ref="B327:B328"/>
    <mergeCell ref="A330:A336"/>
    <mergeCell ref="B330:B336"/>
    <mergeCell ref="A337:A342"/>
    <mergeCell ref="B337:B342"/>
    <mergeCell ref="A368:A369"/>
    <mergeCell ref="B368:B369"/>
    <mergeCell ref="A371:A373"/>
    <mergeCell ref="B371:B373"/>
    <mergeCell ref="A376:A377"/>
    <mergeCell ref="B376:B377"/>
    <mergeCell ref="A356:A357"/>
    <mergeCell ref="B356:B357"/>
    <mergeCell ref="A359:A360"/>
    <mergeCell ref="B359:B360"/>
    <mergeCell ref="A362:A367"/>
    <mergeCell ref="B362:B367"/>
    <mergeCell ref="A388:A390"/>
    <mergeCell ref="B388:B390"/>
    <mergeCell ref="A391:A407"/>
    <mergeCell ref="B391:B407"/>
    <mergeCell ref="A408:A409"/>
    <mergeCell ref="B408:B409"/>
    <mergeCell ref="A378:A380"/>
    <mergeCell ref="B378:B380"/>
    <mergeCell ref="A381:A384"/>
    <mergeCell ref="B381:B384"/>
    <mergeCell ref="A386:A387"/>
    <mergeCell ref="B386:B387"/>
    <mergeCell ref="A420:A430"/>
    <mergeCell ref="B420:B430"/>
    <mergeCell ref="A431:A442"/>
    <mergeCell ref="B431:B442"/>
    <mergeCell ref="A444:A452"/>
    <mergeCell ref="B444:B452"/>
    <mergeCell ref="A410:D410"/>
    <mergeCell ref="A411:K411"/>
    <mergeCell ref="A413:A416"/>
    <mergeCell ref="B413:B416"/>
    <mergeCell ref="A417:A418"/>
    <mergeCell ref="B417:B418"/>
    <mergeCell ref="A503:D503"/>
    <mergeCell ref="A504:K504"/>
    <mergeCell ref="A509:A511"/>
    <mergeCell ref="B509:B511"/>
    <mergeCell ref="A513:A514"/>
    <mergeCell ref="B513:B514"/>
    <mergeCell ref="A453:A491"/>
    <mergeCell ref="B453:B491"/>
    <mergeCell ref="A492:A497"/>
    <mergeCell ref="B492:B497"/>
    <mergeCell ref="A498:A502"/>
    <mergeCell ref="B498:B502"/>
    <mergeCell ref="A531:A533"/>
    <mergeCell ref="B531:B533"/>
    <mergeCell ref="A535:A537"/>
    <mergeCell ref="B535:B537"/>
    <mergeCell ref="A539:A540"/>
    <mergeCell ref="B539:B540"/>
    <mergeCell ref="A516:A520"/>
    <mergeCell ref="B516:B520"/>
    <mergeCell ref="A522:A525"/>
    <mergeCell ref="B522:B525"/>
    <mergeCell ref="A526:A529"/>
    <mergeCell ref="B526:B529"/>
    <mergeCell ref="A575:D575"/>
    <mergeCell ref="A576:K576"/>
    <mergeCell ref="A578:A584"/>
    <mergeCell ref="B578:B584"/>
    <mergeCell ref="A585:A586"/>
    <mergeCell ref="B585:B586"/>
    <mergeCell ref="A542:A546"/>
    <mergeCell ref="B542:B546"/>
    <mergeCell ref="A548:A550"/>
    <mergeCell ref="B548:B550"/>
    <mergeCell ref="A555:A574"/>
    <mergeCell ref="B555:B574"/>
    <mergeCell ref="A595:A596"/>
    <mergeCell ref="B595:B596"/>
    <mergeCell ref="A597:A600"/>
    <mergeCell ref="B597:B600"/>
    <mergeCell ref="A601:A607"/>
    <mergeCell ref="B601:B607"/>
    <mergeCell ref="A587:A588"/>
    <mergeCell ref="B587:B588"/>
    <mergeCell ref="A589:A590"/>
    <mergeCell ref="B589:B590"/>
    <mergeCell ref="A591:A594"/>
    <mergeCell ref="B591:B594"/>
    <mergeCell ref="A616:A618"/>
    <mergeCell ref="B616:B618"/>
    <mergeCell ref="A619:A623"/>
    <mergeCell ref="B619:B623"/>
    <mergeCell ref="A626:A629"/>
    <mergeCell ref="B626:B629"/>
    <mergeCell ref="A608:A610"/>
    <mergeCell ref="B608:B610"/>
    <mergeCell ref="A611:D611"/>
    <mergeCell ref="A612:K612"/>
    <mergeCell ref="A613:A614"/>
    <mergeCell ref="B613:B614"/>
    <mergeCell ref="A638:A640"/>
    <mergeCell ref="B638:B640"/>
    <mergeCell ref="A643:A644"/>
    <mergeCell ref="B643:B644"/>
    <mergeCell ref="A648:A650"/>
    <mergeCell ref="B648:B650"/>
    <mergeCell ref="A630:A631"/>
    <mergeCell ref="B630:B631"/>
    <mergeCell ref="A632:A633"/>
    <mergeCell ref="B632:B633"/>
    <mergeCell ref="A634:A637"/>
    <mergeCell ref="B634:B637"/>
    <mergeCell ref="A677:A683"/>
    <mergeCell ref="B677:B683"/>
    <mergeCell ref="A686:A687"/>
    <mergeCell ref="B686:B687"/>
    <mergeCell ref="A689:A692"/>
    <mergeCell ref="B689:B692"/>
    <mergeCell ref="A652:A656"/>
    <mergeCell ref="B652:B656"/>
    <mergeCell ref="A657:A662"/>
    <mergeCell ref="B657:B662"/>
    <mergeCell ref="A663:A676"/>
    <mergeCell ref="B663:B676"/>
    <mergeCell ref="A712:A713"/>
    <mergeCell ref="B712:B713"/>
    <mergeCell ref="A714:A716"/>
    <mergeCell ref="B714:B716"/>
    <mergeCell ref="A717:A720"/>
    <mergeCell ref="B717:B720"/>
    <mergeCell ref="A693:A701"/>
    <mergeCell ref="B693:B701"/>
    <mergeCell ref="A702:A705"/>
    <mergeCell ref="B702:B705"/>
    <mergeCell ref="A706:A711"/>
    <mergeCell ref="B706:B711"/>
    <mergeCell ref="A739:A741"/>
    <mergeCell ref="B739:B741"/>
    <mergeCell ref="A742:A745"/>
    <mergeCell ref="B742:B745"/>
    <mergeCell ref="A746:A751"/>
    <mergeCell ref="B746:B751"/>
    <mergeCell ref="A722:A734"/>
    <mergeCell ref="B722:B734"/>
    <mergeCell ref="A735:D735"/>
    <mergeCell ref="A736:K736"/>
    <mergeCell ref="A737:A738"/>
    <mergeCell ref="B737:B738"/>
    <mergeCell ref="A761:A762"/>
    <mergeCell ref="B761:B762"/>
    <mergeCell ref="A767:A768"/>
    <mergeCell ref="B767:B768"/>
    <mergeCell ref="A771:A772"/>
    <mergeCell ref="B771:B772"/>
    <mergeCell ref="A752:A754"/>
    <mergeCell ref="B752:B754"/>
    <mergeCell ref="A755:A757"/>
    <mergeCell ref="B755:B757"/>
    <mergeCell ref="A758:A759"/>
    <mergeCell ref="B758:B759"/>
    <mergeCell ref="A785:A786"/>
    <mergeCell ref="B785:B786"/>
    <mergeCell ref="A787:A788"/>
    <mergeCell ref="B787:B788"/>
    <mergeCell ref="A789:A794"/>
    <mergeCell ref="B789:B794"/>
    <mergeCell ref="A774:A775"/>
    <mergeCell ref="B774:B775"/>
    <mergeCell ref="A776:A780"/>
    <mergeCell ref="B776:B780"/>
    <mergeCell ref="A781:A784"/>
    <mergeCell ref="B781:B784"/>
    <mergeCell ref="A807:A808"/>
    <mergeCell ref="B807:B808"/>
    <mergeCell ref="A809:D809"/>
    <mergeCell ref="A810:K810"/>
    <mergeCell ref="A811:D811"/>
    <mergeCell ref="A795:A797"/>
    <mergeCell ref="B795:B797"/>
    <mergeCell ref="A799:A804"/>
    <mergeCell ref="B799:B804"/>
    <mergeCell ref="A805:A806"/>
    <mergeCell ref="B805:B806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>
    <oddHeader>&amp;LPříloha č. 19&amp;CZávěrečný účet Plzeňského kraje za rok 2010</oddHeader>
    <oddFooter>&amp;LKrajský úřad Plzeňského kraje
odbor ekonomický&amp;C&amp;P&amp;R&amp;D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87"/>
  <sheetViews>
    <sheetView zoomScaleNormal="100" workbookViewId="0">
      <selection activeCell="AD59" sqref="AD59"/>
    </sheetView>
  </sheetViews>
  <sheetFormatPr defaultRowHeight="13.2"/>
  <cols>
    <col min="1" max="1" width="0.109375" style="433" customWidth="1"/>
    <col min="2" max="2" width="3.6640625" style="433" customWidth="1"/>
    <col min="3" max="3" width="4.33203125" style="433" customWidth="1"/>
    <col min="4" max="4" width="0.33203125" style="433" hidden="1" customWidth="1"/>
    <col min="5" max="12" width="8.88671875" style="433" hidden="1" customWidth="1"/>
    <col min="13" max="15" width="9.109375" style="433"/>
    <col min="16" max="16" width="7.109375" style="433" customWidth="1"/>
    <col min="17" max="17" width="2.44140625" style="433" customWidth="1"/>
    <col min="18" max="18" width="0.33203125" style="433" hidden="1" customWidth="1"/>
    <col min="19" max="20" width="8.88671875" style="433" hidden="1" customWidth="1"/>
    <col min="21" max="21" width="11.5546875" style="433" customWidth="1"/>
    <col min="22" max="22" width="12.5546875" style="433" customWidth="1"/>
    <col min="23" max="24" width="8.88671875" style="433" hidden="1" customWidth="1"/>
    <col min="25" max="25" width="8.6640625" style="433" customWidth="1"/>
    <col min="26" max="27" width="8.88671875" style="433" hidden="1" customWidth="1"/>
    <col min="28" max="28" width="11.109375" style="433" customWidth="1"/>
    <col min="29" max="256" width="9.109375" style="433"/>
    <col min="257" max="257" width="0.109375" style="433" customWidth="1"/>
    <col min="258" max="258" width="3.6640625" style="433" customWidth="1"/>
    <col min="259" max="259" width="4.33203125" style="433" customWidth="1"/>
    <col min="260" max="268" width="0" style="433" hidden="1" customWidth="1"/>
    <col min="269" max="271" width="9.109375" style="433"/>
    <col min="272" max="272" width="7.109375" style="433" customWidth="1"/>
    <col min="273" max="273" width="2.44140625" style="433" customWidth="1"/>
    <col min="274" max="276" width="0" style="433" hidden="1" customWidth="1"/>
    <col min="277" max="277" width="11.5546875" style="433" customWidth="1"/>
    <col min="278" max="278" width="12.5546875" style="433" customWidth="1"/>
    <col min="279" max="280" width="0" style="433" hidden="1" customWidth="1"/>
    <col min="281" max="281" width="8.6640625" style="433" customWidth="1"/>
    <col min="282" max="283" width="0" style="433" hidden="1" customWidth="1"/>
    <col min="284" max="284" width="11.109375" style="433" customWidth="1"/>
    <col min="285" max="512" width="9.109375" style="433"/>
    <col min="513" max="513" width="0.109375" style="433" customWidth="1"/>
    <col min="514" max="514" width="3.6640625" style="433" customWidth="1"/>
    <col min="515" max="515" width="4.33203125" style="433" customWidth="1"/>
    <col min="516" max="524" width="0" style="433" hidden="1" customWidth="1"/>
    <col min="525" max="527" width="9.109375" style="433"/>
    <col min="528" max="528" width="7.109375" style="433" customWidth="1"/>
    <col min="529" max="529" width="2.44140625" style="433" customWidth="1"/>
    <col min="530" max="532" width="0" style="433" hidden="1" customWidth="1"/>
    <col min="533" max="533" width="11.5546875" style="433" customWidth="1"/>
    <col min="534" max="534" width="12.5546875" style="433" customWidth="1"/>
    <col min="535" max="536" width="0" style="433" hidden="1" customWidth="1"/>
    <col min="537" max="537" width="8.6640625" style="433" customWidth="1"/>
    <col min="538" max="539" width="0" style="433" hidden="1" customWidth="1"/>
    <col min="540" max="540" width="11.109375" style="433" customWidth="1"/>
    <col min="541" max="768" width="9.109375" style="433"/>
    <col min="769" max="769" width="0.109375" style="433" customWidth="1"/>
    <col min="770" max="770" width="3.6640625" style="433" customWidth="1"/>
    <col min="771" max="771" width="4.33203125" style="433" customWidth="1"/>
    <col min="772" max="780" width="0" style="433" hidden="1" customWidth="1"/>
    <col min="781" max="783" width="9.109375" style="433"/>
    <col min="784" max="784" width="7.109375" style="433" customWidth="1"/>
    <col min="785" max="785" width="2.44140625" style="433" customWidth="1"/>
    <col min="786" max="788" width="0" style="433" hidden="1" customWidth="1"/>
    <col min="789" max="789" width="11.5546875" style="433" customWidth="1"/>
    <col min="790" max="790" width="12.5546875" style="433" customWidth="1"/>
    <col min="791" max="792" width="0" style="433" hidden="1" customWidth="1"/>
    <col min="793" max="793" width="8.6640625" style="433" customWidth="1"/>
    <col min="794" max="795" width="0" style="433" hidden="1" customWidth="1"/>
    <col min="796" max="796" width="11.109375" style="433" customWidth="1"/>
    <col min="797" max="1024" width="9.109375" style="433"/>
    <col min="1025" max="1025" width="0.109375" style="433" customWidth="1"/>
    <col min="1026" max="1026" width="3.6640625" style="433" customWidth="1"/>
    <col min="1027" max="1027" width="4.33203125" style="433" customWidth="1"/>
    <col min="1028" max="1036" width="0" style="433" hidden="1" customWidth="1"/>
    <col min="1037" max="1039" width="9.109375" style="433"/>
    <col min="1040" max="1040" width="7.109375" style="433" customWidth="1"/>
    <col min="1041" max="1041" width="2.44140625" style="433" customWidth="1"/>
    <col min="1042" max="1044" width="0" style="433" hidden="1" customWidth="1"/>
    <col min="1045" max="1045" width="11.5546875" style="433" customWidth="1"/>
    <col min="1046" max="1046" width="12.5546875" style="433" customWidth="1"/>
    <col min="1047" max="1048" width="0" style="433" hidden="1" customWidth="1"/>
    <col min="1049" max="1049" width="8.6640625" style="433" customWidth="1"/>
    <col min="1050" max="1051" width="0" style="433" hidden="1" customWidth="1"/>
    <col min="1052" max="1052" width="11.109375" style="433" customWidth="1"/>
    <col min="1053" max="1280" width="9.109375" style="433"/>
    <col min="1281" max="1281" width="0.109375" style="433" customWidth="1"/>
    <col min="1282" max="1282" width="3.6640625" style="433" customWidth="1"/>
    <col min="1283" max="1283" width="4.33203125" style="433" customWidth="1"/>
    <col min="1284" max="1292" width="0" style="433" hidden="1" customWidth="1"/>
    <col min="1293" max="1295" width="9.109375" style="433"/>
    <col min="1296" max="1296" width="7.109375" style="433" customWidth="1"/>
    <col min="1297" max="1297" width="2.44140625" style="433" customWidth="1"/>
    <col min="1298" max="1300" width="0" style="433" hidden="1" customWidth="1"/>
    <col min="1301" max="1301" width="11.5546875" style="433" customWidth="1"/>
    <col min="1302" max="1302" width="12.5546875" style="433" customWidth="1"/>
    <col min="1303" max="1304" width="0" style="433" hidden="1" customWidth="1"/>
    <col min="1305" max="1305" width="8.6640625" style="433" customWidth="1"/>
    <col min="1306" max="1307" width="0" style="433" hidden="1" customWidth="1"/>
    <col min="1308" max="1308" width="11.109375" style="433" customWidth="1"/>
    <col min="1309" max="1536" width="9.109375" style="433"/>
    <col min="1537" max="1537" width="0.109375" style="433" customWidth="1"/>
    <col min="1538" max="1538" width="3.6640625" style="433" customWidth="1"/>
    <col min="1539" max="1539" width="4.33203125" style="433" customWidth="1"/>
    <col min="1540" max="1548" width="0" style="433" hidden="1" customWidth="1"/>
    <col min="1549" max="1551" width="9.109375" style="433"/>
    <col min="1552" max="1552" width="7.109375" style="433" customWidth="1"/>
    <col min="1553" max="1553" width="2.44140625" style="433" customWidth="1"/>
    <col min="1554" max="1556" width="0" style="433" hidden="1" customWidth="1"/>
    <col min="1557" max="1557" width="11.5546875" style="433" customWidth="1"/>
    <col min="1558" max="1558" width="12.5546875" style="433" customWidth="1"/>
    <col min="1559" max="1560" width="0" style="433" hidden="1" customWidth="1"/>
    <col min="1561" max="1561" width="8.6640625" style="433" customWidth="1"/>
    <col min="1562" max="1563" width="0" style="433" hidden="1" customWidth="1"/>
    <col min="1564" max="1564" width="11.109375" style="433" customWidth="1"/>
    <col min="1565" max="1792" width="9.109375" style="433"/>
    <col min="1793" max="1793" width="0.109375" style="433" customWidth="1"/>
    <col min="1794" max="1794" width="3.6640625" style="433" customWidth="1"/>
    <col min="1795" max="1795" width="4.33203125" style="433" customWidth="1"/>
    <col min="1796" max="1804" width="0" style="433" hidden="1" customWidth="1"/>
    <col min="1805" max="1807" width="9.109375" style="433"/>
    <col min="1808" max="1808" width="7.109375" style="433" customWidth="1"/>
    <col min="1809" max="1809" width="2.44140625" style="433" customWidth="1"/>
    <col min="1810" max="1812" width="0" style="433" hidden="1" customWidth="1"/>
    <col min="1813" max="1813" width="11.5546875" style="433" customWidth="1"/>
    <col min="1814" max="1814" width="12.5546875" style="433" customWidth="1"/>
    <col min="1815" max="1816" width="0" style="433" hidden="1" customWidth="1"/>
    <col min="1817" max="1817" width="8.6640625" style="433" customWidth="1"/>
    <col min="1818" max="1819" width="0" style="433" hidden="1" customWidth="1"/>
    <col min="1820" max="1820" width="11.109375" style="433" customWidth="1"/>
    <col min="1821" max="2048" width="9.109375" style="433"/>
    <col min="2049" max="2049" width="0.109375" style="433" customWidth="1"/>
    <col min="2050" max="2050" width="3.6640625" style="433" customWidth="1"/>
    <col min="2051" max="2051" width="4.33203125" style="433" customWidth="1"/>
    <col min="2052" max="2060" width="0" style="433" hidden="1" customWidth="1"/>
    <col min="2061" max="2063" width="9.109375" style="433"/>
    <col min="2064" max="2064" width="7.109375" style="433" customWidth="1"/>
    <col min="2065" max="2065" width="2.44140625" style="433" customWidth="1"/>
    <col min="2066" max="2068" width="0" style="433" hidden="1" customWidth="1"/>
    <col min="2069" max="2069" width="11.5546875" style="433" customWidth="1"/>
    <col min="2070" max="2070" width="12.5546875" style="433" customWidth="1"/>
    <col min="2071" max="2072" width="0" style="433" hidden="1" customWidth="1"/>
    <col min="2073" max="2073" width="8.6640625" style="433" customWidth="1"/>
    <col min="2074" max="2075" width="0" style="433" hidden="1" customWidth="1"/>
    <col min="2076" max="2076" width="11.109375" style="433" customWidth="1"/>
    <col min="2077" max="2304" width="9.109375" style="433"/>
    <col min="2305" max="2305" width="0.109375" style="433" customWidth="1"/>
    <col min="2306" max="2306" width="3.6640625" style="433" customWidth="1"/>
    <col min="2307" max="2307" width="4.33203125" style="433" customWidth="1"/>
    <col min="2308" max="2316" width="0" style="433" hidden="1" customWidth="1"/>
    <col min="2317" max="2319" width="9.109375" style="433"/>
    <col min="2320" max="2320" width="7.109375" style="433" customWidth="1"/>
    <col min="2321" max="2321" width="2.44140625" style="433" customWidth="1"/>
    <col min="2322" max="2324" width="0" style="433" hidden="1" customWidth="1"/>
    <col min="2325" max="2325" width="11.5546875" style="433" customWidth="1"/>
    <col min="2326" max="2326" width="12.5546875" style="433" customWidth="1"/>
    <col min="2327" max="2328" width="0" style="433" hidden="1" customWidth="1"/>
    <col min="2329" max="2329" width="8.6640625" style="433" customWidth="1"/>
    <col min="2330" max="2331" width="0" style="433" hidden="1" customWidth="1"/>
    <col min="2332" max="2332" width="11.109375" style="433" customWidth="1"/>
    <col min="2333" max="2560" width="9.109375" style="433"/>
    <col min="2561" max="2561" width="0.109375" style="433" customWidth="1"/>
    <col min="2562" max="2562" width="3.6640625" style="433" customWidth="1"/>
    <col min="2563" max="2563" width="4.33203125" style="433" customWidth="1"/>
    <col min="2564" max="2572" width="0" style="433" hidden="1" customWidth="1"/>
    <col min="2573" max="2575" width="9.109375" style="433"/>
    <col min="2576" max="2576" width="7.109375" style="433" customWidth="1"/>
    <col min="2577" max="2577" width="2.44140625" style="433" customWidth="1"/>
    <col min="2578" max="2580" width="0" style="433" hidden="1" customWidth="1"/>
    <col min="2581" max="2581" width="11.5546875" style="433" customWidth="1"/>
    <col min="2582" max="2582" width="12.5546875" style="433" customWidth="1"/>
    <col min="2583" max="2584" width="0" style="433" hidden="1" customWidth="1"/>
    <col min="2585" max="2585" width="8.6640625" style="433" customWidth="1"/>
    <col min="2586" max="2587" width="0" style="433" hidden="1" customWidth="1"/>
    <col min="2588" max="2588" width="11.109375" style="433" customWidth="1"/>
    <col min="2589" max="2816" width="9.109375" style="433"/>
    <col min="2817" max="2817" width="0.109375" style="433" customWidth="1"/>
    <col min="2818" max="2818" width="3.6640625" style="433" customWidth="1"/>
    <col min="2819" max="2819" width="4.33203125" style="433" customWidth="1"/>
    <col min="2820" max="2828" width="0" style="433" hidden="1" customWidth="1"/>
    <col min="2829" max="2831" width="9.109375" style="433"/>
    <col min="2832" max="2832" width="7.109375" style="433" customWidth="1"/>
    <col min="2833" max="2833" width="2.44140625" style="433" customWidth="1"/>
    <col min="2834" max="2836" width="0" style="433" hidden="1" customWidth="1"/>
    <col min="2837" max="2837" width="11.5546875" style="433" customWidth="1"/>
    <col min="2838" max="2838" width="12.5546875" style="433" customWidth="1"/>
    <col min="2839" max="2840" width="0" style="433" hidden="1" customWidth="1"/>
    <col min="2841" max="2841" width="8.6640625" style="433" customWidth="1"/>
    <col min="2842" max="2843" width="0" style="433" hidden="1" customWidth="1"/>
    <col min="2844" max="2844" width="11.109375" style="433" customWidth="1"/>
    <col min="2845" max="3072" width="9.109375" style="433"/>
    <col min="3073" max="3073" width="0.109375" style="433" customWidth="1"/>
    <col min="3074" max="3074" width="3.6640625" style="433" customWidth="1"/>
    <col min="3075" max="3075" width="4.33203125" style="433" customWidth="1"/>
    <col min="3076" max="3084" width="0" style="433" hidden="1" customWidth="1"/>
    <col min="3085" max="3087" width="9.109375" style="433"/>
    <col min="3088" max="3088" width="7.109375" style="433" customWidth="1"/>
    <col min="3089" max="3089" width="2.44140625" style="433" customWidth="1"/>
    <col min="3090" max="3092" width="0" style="433" hidden="1" customWidth="1"/>
    <col min="3093" max="3093" width="11.5546875" style="433" customWidth="1"/>
    <col min="3094" max="3094" width="12.5546875" style="433" customWidth="1"/>
    <col min="3095" max="3096" width="0" style="433" hidden="1" customWidth="1"/>
    <col min="3097" max="3097" width="8.6640625" style="433" customWidth="1"/>
    <col min="3098" max="3099" width="0" style="433" hidden="1" customWidth="1"/>
    <col min="3100" max="3100" width="11.109375" style="433" customWidth="1"/>
    <col min="3101" max="3328" width="9.109375" style="433"/>
    <col min="3329" max="3329" width="0.109375" style="433" customWidth="1"/>
    <col min="3330" max="3330" width="3.6640625" style="433" customWidth="1"/>
    <col min="3331" max="3331" width="4.33203125" style="433" customWidth="1"/>
    <col min="3332" max="3340" width="0" style="433" hidden="1" customWidth="1"/>
    <col min="3341" max="3343" width="9.109375" style="433"/>
    <col min="3344" max="3344" width="7.109375" style="433" customWidth="1"/>
    <col min="3345" max="3345" width="2.44140625" style="433" customWidth="1"/>
    <col min="3346" max="3348" width="0" style="433" hidden="1" customWidth="1"/>
    <col min="3349" max="3349" width="11.5546875" style="433" customWidth="1"/>
    <col min="3350" max="3350" width="12.5546875" style="433" customWidth="1"/>
    <col min="3351" max="3352" width="0" style="433" hidden="1" customWidth="1"/>
    <col min="3353" max="3353" width="8.6640625" style="433" customWidth="1"/>
    <col min="3354" max="3355" width="0" style="433" hidden="1" customWidth="1"/>
    <col min="3356" max="3356" width="11.109375" style="433" customWidth="1"/>
    <col min="3357" max="3584" width="9.109375" style="433"/>
    <col min="3585" max="3585" width="0.109375" style="433" customWidth="1"/>
    <col min="3586" max="3586" width="3.6640625" style="433" customWidth="1"/>
    <col min="3587" max="3587" width="4.33203125" style="433" customWidth="1"/>
    <col min="3588" max="3596" width="0" style="433" hidden="1" customWidth="1"/>
    <col min="3597" max="3599" width="9.109375" style="433"/>
    <col min="3600" max="3600" width="7.109375" style="433" customWidth="1"/>
    <col min="3601" max="3601" width="2.44140625" style="433" customWidth="1"/>
    <col min="3602" max="3604" width="0" style="433" hidden="1" customWidth="1"/>
    <col min="3605" max="3605" width="11.5546875" style="433" customWidth="1"/>
    <col min="3606" max="3606" width="12.5546875" style="433" customWidth="1"/>
    <col min="3607" max="3608" width="0" style="433" hidden="1" customWidth="1"/>
    <col min="3609" max="3609" width="8.6640625" style="433" customWidth="1"/>
    <col min="3610" max="3611" width="0" style="433" hidden="1" customWidth="1"/>
    <col min="3612" max="3612" width="11.109375" style="433" customWidth="1"/>
    <col min="3613" max="3840" width="9.109375" style="433"/>
    <col min="3841" max="3841" width="0.109375" style="433" customWidth="1"/>
    <col min="3842" max="3842" width="3.6640625" style="433" customWidth="1"/>
    <col min="3843" max="3843" width="4.33203125" style="433" customWidth="1"/>
    <col min="3844" max="3852" width="0" style="433" hidden="1" customWidth="1"/>
    <col min="3853" max="3855" width="9.109375" style="433"/>
    <col min="3856" max="3856" width="7.109375" style="433" customWidth="1"/>
    <col min="3857" max="3857" width="2.44140625" style="433" customWidth="1"/>
    <col min="3858" max="3860" width="0" style="433" hidden="1" customWidth="1"/>
    <col min="3861" max="3861" width="11.5546875" style="433" customWidth="1"/>
    <col min="3862" max="3862" width="12.5546875" style="433" customWidth="1"/>
    <col min="3863" max="3864" width="0" style="433" hidden="1" customWidth="1"/>
    <col min="3865" max="3865" width="8.6640625" style="433" customWidth="1"/>
    <col min="3866" max="3867" width="0" style="433" hidden="1" customWidth="1"/>
    <col min="3868" max="3868" width="11.109375" style="433" customWidth="1"/>
    <col min="3869" max="4096" width="9.109375" style="433"/>
    <col min="4097" max="4097" width="0.109375" style="433" customWidth="1"/>
    <col min="4098" max="4098" width="3.6640625" style="433" customWidth="1"/>
    <col min="4099" max="4099" width="4.33203125" style="433" customWidth="1"/>
    <col min="4100" max="4108" width="0" style="433" hidden="1" customWidth="1"/>
    <col min="4109" max="4111" width="9.109375" style="433"/>
    <col min="4112" max="4112" width="7.109375" style="433" customWidth="1"/>
    <col min="4113" max="4113" width="2.44140625" style="433" customWidth="1"/>
    <col min="4114" max="4116" width="0" style="433" hidden="1" customWidth="1"/>
    <col min="4117" max="4117" width="11.5546875" style="433" customWidth="1"/>
    <col min="4118" max="4118" width="12.5546875" style="433" customWidth="1"/>
    <col min="4119" max="4120" width="0" style="433" hidden="1" customWidth="1"/>
    <col min="4121" max="4121" width="8.6640625" style="433" customWidth="1"/>
    <col min="4122" max="4123" width="0" style="433" hidden="1" customWidth="1"/>
    <col min="4124" max="4124" width="11.109375" style="433" customWidth="1"/>
    <col min="4125" max="4352" width="9.109375" style="433"/>
    <col min="4353" max="4353" width="0.109375" style="433" customWidth="1"/>
    <col min="4354" max="4354" width="3.6640625" style="433" customWidth="1"/>
    <col min="4355" max="4355" width="4.33203125" style="433" customWidth="1"/>
    <col min="4356" max="4364" width="0" style="433" hidden="1" customWidth="1"/>
    <col min="4365" max="4367" width="9.109375" style="433"/>
    <col min="4368" max="4368" width="7.109375" style="433" customWidth="1"/>
    <col min="4369" max="4369" width="2.44140625" style="433" customWidth="1"/>
    <col min="4370" max="4372" width="0" style="433" hidden="1" customWidth="1"/>
    <col min="4373" max="4373" width="11.5546875" style="433" customWidth="1"/>
    <col min="4374" max="4374" width="12.5546875" style="433" customWidth="1"/>
    <col min="4375" max="4376" width="0" style="433" hidden="1" customWidth="1"/>
    <col min="4377" max="4377" width="8.6640625" style="433" customWidth="1"/>
    <col min="4378" max="4379" width="0" style="433" hidden="1" customWidth="1"/>
    <col min="4380" max="4380" width="11.109375" style="433" customWidth="1"/>
    <col min="4381" max="4608" width="9.109375" style="433"/>
    <col min="4609" max="4609" width="0.109375" style="433" customWidth="1"/>
    <col min="4610" max="4610" width="3.6640625" style="433" customWidth="1"/>
    <col min="4611" max="4611" width="4.33203125" style="433" customWidth="1"/>
    <col min="4612" max="4620" width="0" style="433" hidden="1" customWidth="1"/>
    <col min="4621" max="4623" width="9.109375" style="433"/>
    <col min="4624" max="4624" width="7.109375" style="433" customWidth="1"/>
    <col min="4625" max="4625" width="2.44140625" style="433" customWidth="1"/>
    <col min="4626" max="4628" width="0" style="433" hidden="1" customWidth="1"/>
    <col min="4629" max="4629" width="11.5546875" style="433" customWidth="1"/>
    <col min="4630" max="4630" width="12.5546875" style="433" customWidth="1"/>
    <col min="4631" max="4632" width="0" style="433" hidden="1" customWidth="1"/>
    <col min="4633" max="4633" width="8.6640625" style="433" customWidth="1"/>
    <col min="4634" max="4635" width="0" style="433" hidden="1" customWidth="1"/>
    <col min="4636" max="4636" width="11.109375" style="433" customWidth="1"/>
    <col min="4637" max="4864" width="9.109375" style="433"/>
    <col min="4865" max="4865" width="0.109375" style="433" customWidth="1"/>
    <col min="4866" max="4866" width="3.6640625" style="433" customWidth="1"/>
    <col min="4867" max="4867" width="4.33203125" style="433" customWidth="1"/>
    <col min="4868" max="4876" width="0" style="433" hidden="1" customWidth="1"/>
    <col min="4877" max="4879" width="9.109375" style="433"/>
    <col min="4880" max="4880" width="7.109375" style="433" customWidth="1"/>
    <col min="4881" max="4881" width="2.44140625" style="433" customWidth="1"/>
    <col min="4882" max="4884" width="0" style="433" hidden="1" customWidth="1"/>
    <col min="4885" max="4885" width="11.5546875" style="433" customWidth="1"/>
    <col min="4886" max="4886" width="12.5546875" style="433" customWidth="1"/>
    <col min="4887" max="4888" width="0" style="433" hidden="1" customWidth="1"/>
    <col min="4889" max="4889" width="8.6640625" style="433" customWidth="1"/>
    <col min="4890" max="4891" width="0" style="433" hidden="1" customWidth="1"/>
    <col min="4892" max="4892" width="11.109375" style="433" customWidth="1"/>
    <col min="4893" max="5120" width="9.109375" style="433"/>
    <col min="5121" max="5121" width="0.109375" style="433" customWidth="1"/>
    <col min="5122" max="5122" width="3.6640625" style="433" customWidth="1"/>
    <col min="5123" max="5123" width="4.33203125" style="433" customWidth="1"/>
    <col min="5124" max="5132" width="0" style="433" hidden="1" customWidth="1"/>
    <col min="5133" max="5135" width="9.109375" style="433"/>
    <col min="5136" max="5136" width="7.109375" style="433" customWidth="1"/>
    <col min="5137" max="5137" width="2.44140625" style="433" customWidth="1"/>
    <col min="5138" max="5140" width="0" style="433" hidden="1" customWidth="1"/>
    <col min="5141" max="5141" width="11.5546875" style="433" customWidth="1"/>
    <col min="5142" max="5142" width="12.5546875" style="433" customWidth="1"/>
    <col min="5143" max="5144" width="0" style="433" hidden="1" customWidth="1"/>
    <col min="5145" max="5145" width="8.6640625" style="433" customWidth="1"/>
    <col min="5146" max="5147" width="0" style="433" hidden="1" customWidth="1"/>
    <col min="5148" max="5148" width="11.109375" style="433" customWidth="1"/>
    <col min="5149" max="5376" width="9.109375" style="433"/>
    <col min="5377" max="5377" width="0.109375" style="433" customWidth="1"/>
    <col min="5378" max="5378" width="3.6640625" style="433" customWidth="1"/>
    <col min="5379" max="5379" width="4.33203125" style="433" customWidth="1"/>
    <col min="5380" max="5388" width="0" style="433" hidden="1" customWidth="1"/>
    <col min="5389" max="5391" width="9.109375" style="433"/>
    <col min="5392" max="5392" width="7.109375" style="433" customWidth="1"/>
    <col min="5393" max="5393" width="2.44140625" style="433" customWidth="1"/>
    <col min="5394" max="5396" width="0" style="433" hidden="1" customWidth="1"/>
    <col min="5397" max="5397" width="11.5546875" style="433" customWidth="1"/>
    <col min="5398" max="5398" width="12.5546875" style="433" customWidth="1"/>
    <col min="5399" max="5400" width="0" style="433" hidden="1" customWidth="1"/>
    <col min="5401" max="5401" width="8.6640625" style="433" customWidth="1"/>
    <col min="5402" max="5403" width="0" style="433" hidden="1" customWidth="1"/>
    <col min="5404" max="5404" width="11.109375" style="433" customWidth="1"/>
    <col min="5405" max="5632" width="9.109375" style="433"/>
    <col min="5633" max="5633" width="0.109375" style="433" customWidth="1"/>
    <col min="5634" max="5634" width="3.6640625" style="433" customWidth="1"/>
    <col min="5635" max="5635" width="4.33203125" style="433" customWidth="1"/>
    <col min="5636" max="5644" width="0" style="433" hidden="1" customWidth="1"/>
    <col min="5645" max="5647" width="9.109375" style="433"/>
    <col min="5648" max="5648" width="7.109375" style="433" customWidth="1"/>
    <col min="5649" max="5649" width="2.44140625" style="433" customWidth="1"/>
    <col min="5650" max="5652" width="0" style="433" hidden="1" customWidth="1"/>
    <col min="5653" max="5653" width="11.5546875" style="433" customWidth="1"/>
    <col min="5654" max="5654" width="12.5546875" style="433" customWidth="1"/>
    <col min="5655" max="5656" width="0" style="433" hidden="1" customWidth="1"/>
    <col min="5657" max="5657" width="8.6640625" style="433" customWidth="1"/>
    <col min="5658" max="5659" width="0" style="433" hidden="1" customWidth="1"/>
    <col min="5660" max="5660" width="11.109375" style="433" customWidth="1"/>
    <col min="5661" max="5888" width="9.109375" style="433"/>
    <col min="5889" max="5889" width="0.109375" style="433" customWidth="1"/>
    <col min="5890" max="5890" width="3.6640625" style="433" customWidth="1"/>
    <col min="5891" max="5891" width="4.33203125" style="433" customWidth="1"/>
    <col min="5892" max="5900" width="0" style="433" hidden="1" customWidth="1"/>
    <col min="5901" max="5903" width="9.109375" style="433"/>
    <col min="5904" max="5904" width="7.109375" style="433" customWidth="1"/>
    <col min="5905" max="5905" width="2.44140625" style="433" customWidth="1"/>
    <col min="5906" max="5908" width="0" style="433" hidden="1" customWidth="1"/>
    <col min="5909" max="5909" width="11.5546875" style="433" customWidth="1"/>
    <col min="5910" max="5910" width="12.5546875" style="433" customWidth="1"/>
    <col min="5911" max="5912" width="0" style="433" hidden="1" customWidth="1"/>
    <col min="5913" max="5913" width="8.6640625" style="433" customWidth="1"/>
    <col min="5914" max="5915" width="0" style="433" hidden="1" customWidth="1"/>
    <col min="5916" max="5916" width="11.109375" style="433" customWidth="1"/>
    <col min="5917" max="6144" width="9.109375" style="433"/>
    <col min="6145" max="6145" width="0.109375" style="433" customWidth="1"/>
    <col min="6146" max="6146" width="3.6640625" style="433" customWidth="1"/>
    <col min="6147" max="6147" width="4.33203125" style="433" customWidth="1"/>
    <col min="6148" max="6156" width="0" style="433" hidden="1" customWidth="1"/>
    <col min="6157" max="6159" width="9.109375" style="433"/>
    <col min="6160" max="6160" width="7.109375" style="433" customWidth="1"/>
    <col min="6161" max="6161" width="2.44140625" style="433" customWidth="1"/>
    <col min="6162" max="6164" width="0" style="433" hidden="1" customWidth="1"/>
    <col min="6165" max="6165" width="11.5546875" style="433" customWidth="1"/>
    <col min="6166" max="6166" width="12.5546875" style="433" customWidth="1"/>
    <col min="6167" max="6168" width="0" style="433" hidden="1" customWidth="1"/>
    <col min="6169" max="6169" width="8.6640625" style="433" customWidth="1"/>
    <col min="6170" max="6171" width="0" style="433" hidden="1" customWidth="1"/>
    <col min="6172" max="6172" width="11.109375" style="433" customWidth="1"/>
    <col min="6173" max="6400" width="9.109375" style="433"/>
    <col min="6401" max="6401" width="0.109375" style="433" customWidth="1"/>
    <col min="6402" max="6402" width="3.6640625" style="433" customWidth="1"/>
    <col min="6403" max="6403" width="4.33203125" style="433" customWidth="1"/>
    <col min="6404" max="6412" width="0" style="433" hidden="1" customWidth="1"/>
    <col min="6413" max="6415" width="9.109375" style="433"/>
    <col min="6416" max="6416" width="7.109375" style="433" customWidth="1"/>
    <col min="6417" max="6417" width="2.44140625" style="433" customWidth="1"/>
    <col min="6418" max="6420" width="0" style="433" hidden="1" customWidth="1"/>
    <col min="6421" max="6421" width="11.5546875" style="433" customWidth="1"/>
    <col min="6422" max="6422" width="12.5546875" style="433" customWidth="1"/>
    <col min="6423" max="6424" width="0" style="433" hidden="1" customWidth="1"/>
    <col min="6425" max="6425" width="8.6640625" style="433" customWidth="1"/>
    <col min="6426" max="6427" width="0" style="433" hidden="1" customWidth="1"/>
    <col min="6428" max="6428" width="11.109375" style="433" customWidth="1"/>
    <col min="6429" max="6656" width="9.109375" style="433"/>
    <col min="6657" max="6657" width="0.109375" style="433" customWidth="1"/>
    <col min="6658" max="6658" width="3.6640625" style="433" customWidth="1"/>
    <col min="6659" max="6659" width="4.33203125" style="433" customWidth="1"/>
    <col min="6660" max="6668" width="0" style="433" hidden="1" customWidth="1"/>
    <col min="6669" max="6671" width="9.109375" style="433"/>
    <col min="6672" max="6672" width="7.109375" style="433" customWidth="1"/>
    <col min="6673" max="6673" width="2.44140625" style="433" customWidth="1"/>
    <col min="6674" max="6676" width="0" style="433" hidden="1" customWidth="1"/>
    <col min="6677" max="6677" width="11.5546875" style="433" customWidth="1"/>
    <col min="6678" max="6678" width="12.5546875" style="433" customWidth="1"/>
    <col min="6679" max="6680" width="0" style="433" hidden="1" customWidth="1"/>
    <col min="6681" max="6681" width="8.6640625" style="433" customWidth="1"/>
    <col min="6682" max="6683" width="0" style="433" hidden="1" customWidth="1"/>
    <col min="6684" max="6684" width="11.109375" style="433" customWidth="1"/>
    <col min="6685" max="6912" width="9.109375" style="433"/>
    <col min="6913" max="6913" width="0.109375" style="433" customWidth="1"/>
    <col min="6914" max="6914" width="3.6640625" style="433" customWidth="1"/>
    <col min="6915" max="6915" width="4.33203125" style="433" customWidth="1"/>
    <col min="6916" max="6924" width="0" style="433" hidden="1" customWidth="1"/>
    <col min="6925" max="6927" width="9.109375" style="433"/>
    <col min="6928" max="6928" width="7.109375" style="433" customWidth="1"/>
    <col min="6929" max="6929" width="2.44140625" style="433" customWidth="1"/>
    <col min="6930" max="6932" width="0" style="433" hidden="1" customWidth="1"/>
    <col min="6933" max="6933" width="11.5546875" style="433" customWidth="1"/>
    <col min="6934" max="6934" width="12.5546875" style="433" customWidth="1"/>
    <col min="6935" max="6936" width="0" style="433" hidden="1" customWidth="1"/>
    <col min="6937" max="6937" width="8.6640625" style="433" customWidth="1"/>
    <col min="6938" max="6939" width="0" style="433" hidden="1" customWidth="1"/>
    <col min="6940" max="6940" width="11.109375" style="433" customWidth="1"/>
    <col min="6941" max="7168" width="9.109375" style="433"/>
    <col min="7169" max="7169" width="0.109375" style="433" customWidth="1"/>
    <col min="7170" max="7170" width="3.6640625" style="433" customWidth="1"/>
    <col min="7171" max="7171" width="4.33203125" style="433" customWidth="1"/>
    <col min="7172" max="7180" width="0" style="433" hidden="1" customWidth="1"/>
    <col min="7181" max="7183" width="9.109375" style="433"/>
    <col min="7184" max="7184" width="7.109375" style="433" customWidth="1"/>
    <col min="7185" max="7185" width="2.44140625" style="433" customWidth="1"/>
    <col min="7186" max="7188" width="0" style="433" hidden="1" customWidth="1"/>
    <col min="7189" max="7189" width="11.5546875" style="433" customWidth="1"/>
    <col min="7190" max="7190" width="12.5546875" style="433" customWidth="1"/>
    <col min="7191" max="7192" width="0" style="433" hidden="1" customWidth="1"/>
    <col min="7193" max="7193" width="8.6640625" style="433" customWidth="1"/>
    <col min="7194" max="7195" width="0" style="433" hidden="1" customWidth="1"/>
    <col min="7196" max="7196" width="11.109375" style="433" customWidth="1"/>
    <col min="7197" max="7424" width="9.109375" style="433"/>
    <col min="7425" max="7425" width="0.109375" style="433" customWidth="1"/>
    <col min="7426" max="7426" width="3.6640625" style="433" customWidth="1"/>
    <col min="7427" max="7427" width="4.33203125" style="433" customWidth="1"/>
    <col min="7428" max="7436" width="0" style="433" hidden="1" customWidth="1"/>
    <col min="7437" max="7439" width="9.109375" style="433"/>
    <col min="7440" max="7440" width="7.109375" style="433" customWidth="1"/>
    <col min="7441" max="7441" width="2.44140625" style="433" customWidth="1"/>
    <col min="7442" max="7444" width="0" style="433" hidden="1" customWidth="1"/>
    <col min="7445" max="7445" width="11.5546875" style="433" customWidth="1"/>
    <col min="7446" max="7446" width="12.5546875" style="433" customWidth="1"/>
    <col min="7447" max="7448" width="0" style="433" hidden="1" customWidth="1"/>
    <col min="7449" max="7449" width="8.6640625" style="433" customWidth="1"/>
    <col min="7450" max="7451" width="0" style="433" hidden="1" customWidth="1"/>
    <col min="7452" max="7452" width="11.109375" style="433" customWidth="1"/>
    <col min="7453" max="7680" width="9.109375" style="433"/>
    <col min="7681" max="7681" width="0.109375" style="433" customWidth="1"/>
    <col min="7682" max="7682" width="3.6640625" style="433" customWidth="1"/>
    <col min="7683" max="7683" width="4.33203125" style="433" customWidth="1"/>
    <col min="7684" max="7692" width="0" style="433" hidden="1" customWidth="1"/>
    <col min="7693" max="7695" width="9.109375" style="433"/>
    <col min="7696" max="7696" width="7.109375" style="433" customWidth="1"/>
    <col min="7697" max="7697" width="2.44140625" style="433" customWidth="1"/>
    <col min="7698" max="7700" width="0" style="433" hidden="1" customWidth="1"/>
    <col min="7701" max="7701" width="11.5546875" style="433" customWidth="1"/>
    <col min="7702" max="7702" width="12.5546875" style="433" customWidth="1"/>
    <col min="7703" max="7704" width="0" style="433" hidden="1" customWidth="1"/>
    <col min="7705" max="7705" width="8.6640625" style="433" customWidth="1"/>
    <col min="7706" max="7707" width="0" style="433" hidden="1" customWidth="1"/>
    <col min="7708" max="7708" width="11.109375" style="433" customWidth="1"/>
    <col min="7709" max="7936" width="9.109375" style="433"/>
    <col min="7937" max="7937" width="0.109375" style="433" customWidth="1"/>
    <col min="7938" max="7938" width="3.6640625" style="433" customWidth="1"/>
    <col min="7939" max="7939" width="4.33203125" style="433" customWidth="1"/>
    <col min="7940" max="7948" width="0" style="433" hidden="1" customWidth="1"/>
    <col min="7949" max="7951" width="9.109375" style="433"/>
    <col min="7952" max="7952" width="7.109375" style="433" customWidth="1"/>
    <col min="7953" max="7953" width="2.44140625" style="433" customWidth="1"/>
    <col min="7954" max="7956" width="0" style="433" hidden="1" customWidth="1"/>
    <col min="7957" max="7957" width="11.5546875" style="433" customWidth="1"/>
    <col min="7958" max="7958" width="12.5546875" style="433" customWidth="1"/>
    <col min="7959" max="7960" width="0" style="433" hidden="1" customWidth="1"/>
    <col min="7961" max="7961" width="8.6640625" style="433" customWidth="1"/>
    <col min="7962" max="7963" width="0" style="433" hidden="1" customWidth="1"/>
    <col min="7964" max="7964" width="11.109375" style="433" customWidth="1"/>
    <col min="7965" max="8192" width="9.109375" style="433"/>
    <col min="8193" max="8193" width="0.109375" style="433" customWidth="1"/>
    <col min="8194" max="8194" width="3.6640625" style="433" customWidth="1"/>
    <col min="8195" max="8195" width="4.33203125" style="433" customWidth="1"/>
    <col min="8196" max="8204" width="0" style="433" hidden="1" customWidth="1"/>
    <col min="8205" max="8207" width="9.109375" style="433"/>
    <col min="8208" max="8208" width="7.109375" style="433" customWidth="1"/>
    <col min="8209" max="8209" width="2.44140625" style="433" customWidth="1"/>
    <col min="8210" max="8212" width="0" style="433" hidden="1" customWidth="1"/>
    <col min="8213" max="8213" width="11.5546875" style="433" customWidth="1"/>
    <col min="8214" max="8214" width="12.5546875" style="433" customWidth="1"/>
    <col min="8215" max="8216" width="0" style="433" hidden="1" customWidth="1"/>
    <col min="8217" max="8217" width="8.6640625" style="433" customWidth="1"/>
    <col min="8218" max="8219" width="0" style="433" hidden="1" customWidth="1"/>
    <col min="8220" max="8220" width="11.109375" style="433" customWidth="1"/>
    <col min="8221" max="8448" width="9.109375" style="433"/>
    <col min="8449" max="8449" width="0.109375" style="433" customWidth="1"/>
    <col min="8450" max="8450" width="3.6640625" style="433" customWidth="1"/>
    <col min="8451" max="8451" width="4.33203125" style="433" customWidth="1"/>
    <col min="8452" max="8460" width="0" style="433" hidden="1" customWidth="1"/>
    <col min="8461" max="8463" width="9.109375" style="433"/>
    <col min="8464" max="8464" width="7.109375" style="433" customWidth="1"/>
    <col min="8465" max="8465" width="2.44140625" style="433" customWidth="1"/>
    <col min="8466" max="8468" width="0" style="433" hidden="1" customWidth="1"/>
    <col min="8469" max="8469" width="11.5546875" style="433" customWidth="1"/>
    <col min="8470" max="8470" width="12.5546875" style="433" customWidth="1"/>
    <col min="8471" max="8472" width="0" style="433" hidden="1" customWidth="1"/>
    <col min="8473" max="8473" width="8.6640625" style="433" customWidth="1"/>
    <col min="8474" max="8475" width="0" style="433" hidden="1" customWidth="1"/>
    <col min="8476" max="8476" width="11.109375" style="433" customWidth="1"/>
    <col min="8477" max="8704" width="9.109375" style="433"/>
    <col min="8705" max="8705" width="0.109375" style="433" customWidth="1"/>
    <col min="8706" max="8706" width="3.6640625" style="433" customWidth="1"/>
    <col min="8707" max="8707" width="4.33203125" style="433" customWidth="1"/>
    <col min="8708" max="8716" width="0" style="433" hidden="1" customWidth="1"/>
    <col min="8717" max="8719" width="9.109375" style="433"/>
    <col min="8720" max="8720" width="7.109375" style="433" customWidth="1"/>
    <col min="8721" max="8721" width="2.44140625" style="433" customWidth="1"/>
    <col min="8722" max="8724" width="0" style="433" hidden="1" customWidth="1"/>
    <col min="8725" max="8725" width="11.5546875" style="433" customWidth="1"/>
    <col min="8726" max="8726" width="12.5546875" style="433" customWidth="1"/>
    <col min="8727" max="8728" width="0" style="433" hidden="1" customWidth="1"/>
    <col min="8729" max="8729" width="8.6640625" style="433" customWidth="1"/>
    <col min="8730" max="8731" width="0" style="433" hidden="1" customWidth="1"/>
    <col min="8732" max="8732" width="11.109375" style="433" customWidth="1"/>
    <col min="8733" max="8960" width="9.109375" style="433"/>
    <col min="8961" max="8961" width="0.109375" style="433" customWidth="1"/>
    <col min="8962" max="8962" width="3.6640625" style="433" customWidth="1"/>
    <col min="8963" max="8963" width="4.33203125" style="433" customWidth="1"/>
    <col min="8964" max="8972" width="0" style="433" hidden="1" customWidth="1"/>
    <col min="8973" max="8975" width="9.109375" style="433"/>
    <col min="8976" max="8976" width="7.109375" style="433" customWidth="1"/>
    <col min="8977" max="8977" width="2.44140625" style="433" customWidth="1"/>
    <col min="8978" max="8980" width="0" style="433" hidden="1" customWidth="1"/>
    <col min="8981" max="8981" width="11.5546875" style="433" customWidth="1"/>
    <col min="8982" max="8982" width="12.5546875" style="433" customWidth="1"/>
    <col min="8983" max="8984" width="0" style="433" hidden="1" customWidth="1"/>
    <col min="8985" max="8985" width="8.6640625" style="433" customWidth="1"/>
    <col min="8986" max="8987" width="0" style="433" hidden="1" customWidth="1"/>
    <col min="8988" max="8988" width="11.109375" style="433" customWidth="1"/>
    <col min="8989" max="9216" width="9.109375" style="433"/>
    <col min="9217" max="9217" width="0.109375" style="433" customWidth="1"/>
    <col min="9218" max="9218" width="3.6640625" style="433" customWidth="1"/>
    <col min="9219" max="9219" width="4.33203125" style="433" customWidth="1"/>
    <col min="9220" max="9228" width="0" style="433" hidden="1" customWidth="1"/>
    <col min="9229" max="9231" width="9.109375" style="433"/>
    <col min="9232" max="9232" width="7.109375" style="433" customWidth="1"/>
    <col min="9233" max="9233" width="2.44140625" style="433" customWidth="1"/>
    <col min="9234" max="9236" width="0" style="433" hidden="1" customWidth="1"/>
    <col min="9237" max="9237" width="11.5546875" style="433" customWidth="1"/>
    <col min="9238" max="9238" width="12.5546875" style="433" customWidth="1"/>
    <col min="9239" max="9240" width="0" style="433" hidden="1" customWidth="1"/>
    <col min="9241" max="9241" width="8.6640625" style="433" customWidth="1"/>
    <col min="9242" max="9243" width="0" style="433" hidden="1" customWidth="1"/>
    <col min="9244" max="9244" width="11.109375" style="433" customWidth="1"/>
    <col min="9245" max="9472" width="9.109375" style="433"/>
    <col min="9473" max="9473" width="0.109375" style="433" customWidth="1"/>
    <col min="9474" max="9474" width="3.6640625" style="433" customWidth="1"/>
    <col min="9475" max="9475" width="4.33203125" style="433" customWidth="1"/>
    <col min="9476" max="9484" width="0" style="433" hidden="1" customWidth="1"/>
    <col min="9485" max="9487" width="9.109375" style="433"/>
    <col min="9488" max="9488" width="7.109375" style="433" customWidth="1"/>
    <col min="9489" max="9489" width="2.44140625" style="433" customWidth="1"/>
    <col min="9490" max="9492" width="0" style="433" hidden="1" customWidth="1"/>
    <col min="9493" max="9493" width="11.5546875" style="433" customWidth="1"/>
    <col min="9494" max="9494" width="12.5546875" style="433" customWidth="1"/>
    <col min="9495" max="9496" width="0" style="433" hidden="1" customWidth="1"/>
    <col min="9497" max="9497" width="8.6640625" style="433" customWidth="1"/>
    <col min="9498" max="9499" width="0" style="433" hidden="1" customWidth="1"/>
    <col min="9500" max="9500" width="11.109375" style="433" customWidth="1"/>
    <col min="9501" max="9728" width="9.109375" style="433"/>
    <col min="9729" max="9729" width="0.109375" style="433" customWidth="1"/>
    <col min="9730" max="9730" width="3.6640625" style="433" customWidth="1"/>
    <col min="9731" max="9731" width="4.33203125" style="433" customWidth="1"/>
    <col min="9732" max="9740" width="0" style="433" hidden="1" customWidth="1"/>
    <col min="9741" max="9743" width="9.109375" style="433"/>
    <col min="9744" max="9744" width="7.109375" style="433" customWidth="1"/>
    <col min="9745" max="9745" width="2.44140625" style="433" customWidth="1"/>
    <col min="9746" max="9748" width="0" style="433" hidden="1" customWidth="1"/>
    <col min="9749" max="9749" width="11.5546875" style="433" customWidth="1"/>
    <col min="9750" max="9750" width="12.5546875" style="433" customWidth="1"/>
    <col min="9751" max="9752" width="0" style="433" hidden="1" customWidth="1"/>
    <col min="9753" max="9753" width="8.6640625" style="433" customWidth="1"/>
    <col min="9754" max="9755" width="0" style="433" hidden="1" customWidth="1"/>
    <col min="9756" max="9756" width="11.109375" style="433" customWidth="1"/>
    <col min="9757" max="9984" width="9.109375" style="433"/>
    <col min="9985" max="9985" width="0.109375" style="433" customWidth="1"/>
    <col min="9986" max="9986" width="3.6640625" style="433" customWidth="1"/>
    <col min="9987" max="9987" width="4.33203125" style="433" customWidth="1"/>
    <col min="9988" max="9996" width="0" style="433" hidden="1" customWidth="1"/>
    <col min="9997" max="9999" width="9.109375" style="433"/>
    <col min="10000" max="10000" width="7.109375" style="433" customWidth="1"/>
    <col min="10001" max="10001" width="2.44140625" style="433" customWidth="1"/>
    <col min="10002" max="10004" width="0" style="433" hidden="1" customWidth="1"/>
    <col min="10005" max="10005" width="11.5546875" style="433" customWidth="1"/>
    <col min="10006" max="10006" width="12.5546875" style="433" customWidth="1"/>
    <col min="10007" max="10008" width="0" style="433" hidden="1" customWidth="1"/>
    <col min="10009" max="10009" width="8.6640625" style="433" customWidth="1"/>
    <col min="10010" max="10011" width="0" style="433" hidden="1" customWidth="1"/>
    <col min="10012" max="10012" width="11.109375" style="433" customWidth="1"/>
    <col min="10013" max="10240" width="9.109375" style="433"/>
    <col min="10241" max="10241" width="0.109375" style="433" customWidth="1"/>
    <col min="10242" max="10242" width="3.6640625" style="433" customWidth="1"/>
    <col min="10243" max="10243" width="4.33203125" style="433" customWidth="1"/>
    <col min="10244" max="10252" width="0" style="433" hidden="1" customWidth="1"/>
    <col min="10253" max="10255" width="9.109375" style="433"/>
    <col min="10256" max="10256" width="7.109375" style="433" customWidth="1"/>
    <col min="10257" max="10257" width="2.44140625" style="433" customWidth="1"/>
    <col min="10258" max="10260" width="0" style="433" hidden="1" customWidth="1"/>
    <col min="10261" max="10261" width="11.5546875" style="433" customWidth="1"/>
    <col min="10262" max="10262" width="12.5546875" style="433" customWidth="1"/>
    <col min="10263" max="10264" width="0" style="433" hidden="1" customWidth="1"/>
    <col min="10265" max="10265" width="8.6640625" style="433" customWidth="1"/>
    <col min="10266" max="10267" width="0" style="433" hidden="1" customWidth="1"/>
    <col min="10268" max="10268" width="11.109375" style="433" customWidth="1"/>
    <col min="10269" max="10496" width="9.109375" style="433"/>
    <col min="10497" max="10497" width="0.109375" style="433" customWidth="1"/>
    <col min="10498" max="10498" width="3.6640625" style="433" customWidth="1"/>
    <col min="10499" max="10499" width="4.33203125" style="433" customWidth="1"/>
    <col min="10500" max="10508" width="0" style="433" hidden="1" customWidth="1"/>
    <col min="10509" max="10511" width="9.109375" style="433"/>
    <col min="10512" max="10512" width="7.109375" style="433" customWidth="1"/>
    <col min="10513" max="10513" width="2.44140625" style="433" customWidth="1"/>
    <col min="10514" max="10516" width="0" style="433" hidden="1" customWidth="1"/>
    <col min="10517" max="10517" width="11.5546875" style="433" customWidth="1"/>
    <col min="10518" max="10518" width="12.5546875" style="433" customWidth="1"/>
    <col min="10519" max="10520" width="0" style="433" hidden="1" customWidth="1"/>
    <col min="10521" max="10521" width="8.6640625" style="433" customWidth="1"/>
    <col min="10522" max="10523" width="0" style="433" hidden="1" customWidth="1"/>
    <col min="10524" max="10524" width="11.109375" style="433" customWidth="1"/>
    <col min="10525" max="10752" width="9.109375" style="433"/>
    <col min="10753" max="10753" width="0.109375" style="433" customWidth="1"/>
    <col min="10754" max="10754" width="3.6640625" style="433" customWidth="1"/>
    <col min="10755" max="10755" width="4.33203125" style="433" customWidth="1"/>
    <col min="10756" max="10764" width="0" style="433" hidden="1" customWidth="1"/>
    <col min="10765" max="10767" width="9.109375" style="433"/>
    <col min="10768" max="10768" width="7.109375" style="433" customWidth="1"/>
    <col min="10769" max="10769" width="2.44140625" style="433" customWidth="1"/>
    <col min="10770" max="10772" width="0" style="433" hidden="1" customWidth="1"/>
    <col min="10773" max="10773" width="11.5546875" style="433" customWidth="1"/>
    <col min="10774" max="10774" width="12.5546875" style="433" customWidth="1"/>
    <col min="10775" max="10776" width="0" style="433" hidden="1" customWidth="1"/>
    <col min="10777" max="10777" width="8.6640625" style="433" customWidth="1"/>
    <col min="10778" max="10779" width="0" style="433" hidden="1" customWidth="1"/>
    <col min="10780" max="10780" width="11.109375" style="433" customWidth="1"/>
    <col min="10781" max="11008" width="9.109375" style="433"/>
    <col min="11009" max="11009" width="0.109375" style="433" customWidth="1"/>
    <col min="11010" max="11010" width="3.6640625" style="433" customWidth="1"/>
    <col min="11011" max="11011" width="4.33203125" style="433" customWidth="1"/>
    <col min="11012" max="11020" width="0" style="433" hidden="1" customWidth="1"/>
    <col min="11021" max="11023" width="9.109375" style="433"/>
    <col min="11024" max="11024" width="7.109375" style="433" customWidth="1"/>
    <col min="11025" max="11025" width="2.44140625" style="433" customWidth="1"/>
    <col min="11026" max="11028" width="0" style="433" hidden="1" customWidth="1"/>
    <col min="11029" max="11029" width="11.5546875" style="433" customWidth="1"/>
    <col min="11030" max="11030" width="12.5546875" style="433" customWidth="1"/>
    <col min="11031" max="11032" width="0" style="433" hidden="1" customWidth="1"/>
    <col min="11033" max="11033" width="8.6640625" style="433" customWidth="1"/>
    <col min="11034" max="11035" width="0" style="433" hidden="1" customWidth="1"/>
    <col min="11036" max="11036" width="11.109375" style="433" customWidth="1"/>
    <col min="11037" max="11264" width="9.109375" style="433"/>
    <col min="11265" max="11265" width="0.109375" style="433" customWidth="1"/>
    <col min="11266" max="11266" width="3.6640625" style="433" customWidth="1"/>
    <col min="11267" max="11267" width="4.33203125" style="433" customWidth="1"/>
    <col min="11268" max="11276" width="0" style="433" hidden="1" customWidth="1"/>
    <col min="11277" max="11279" width="9.109375" style="433"/>
    <col min="11280" max="11280" width="7.109375" style="433" customWidth="1"/>
    <col min="11281" max="11281" width="2.44140625" style="433" customWidth="1"/>
    <col min="11282" max="11284" width="0" style="433" hidden="1" customWidth="1"/>
    <col min="11285" max="11285" width="11.5546875" style="433" customWidth="1"/>
    <col min="11286" max="11286" width="12.5546875" style="433" customWidth="1"/>
    <col min="11287" max="11288" width="0" style="433" hidden="1" customWidth="1"/>
    <col min="11289" max="11289" width="8.6640625" style="433" customWidth="1"/>
    <col min="11290" max="11291" width="0" style="433" hidden="1" customWidth="1"/>
    <col min="11292" max="11292" width="11.109375" style="433" customWidth="1"/>
    <col min="11293" max="11520" width="9.109375" style="433"/>
    <col min="11521" max="11521" width="0.109375" style="433" customWidth="1"/>
    <col min="11522" max="11522" width="3.6640625" style="433" customWidth="1"/>
    <col min="11523" max="11523" width="4.33203125" style="433" customWidth="1"/>
    <col min="11524" max="11532" width="0" style="433" hidden="1" customWidth="1"/>
    <col min="11533" max="11535" width="9.109375" style="433"/>
    <col min="11536" max="11536" width="7.109375" style="433" customWidth="1"/>
    <col min="11537" max="11537" width="2.44140625" style="433" customWidth="1"/>
    <col min="11538" max="11540" width="0" style="433" hidden="1" customWidth="1"/>
    <col min="11541" max="11541" width="11.5546875" style="433" customWidth="1"/>
    <col min="11542" max="11542" width="12.5546875" style="433" customWidth="1"/>
    <col min="11543" max="11544" width="0" style="433" hidden="1" customWidth="1"/>
    <col min="11545" max="11545" width="8.6640625" style="433" customWidth="1"/>
    <col min="11546" max="11547" width="0" style="433" hidden="1" customWidth="1"/>
    <col min="11548" max="11548" width="11.109375" style="433" customWidth="1"/>
    <col min="11549" max="11776" width="9.109375" style="433"/>
    <col min="11777" max="11777" width="0.109375" style="433" customWidth="1"/>
    <col min="11778" max="11778" width="3.6640625" style="433" customWidth="1"/>
    <col min="11779" max="11779" width="4.33203125" style="433" customWidth="1"/>
    <col min="11780" max="11788" width="0" style="433" hidden="1" customWidth="1"/>
    <col min="11789" max="11791" width="9.109375" style="433"/>
    <col min="11792" max="11792" width="7.109375" style="433" customWidth="1"/>
    <col min="11793" max="11793" width="2.44140625" style="433" customWidth="1"/>
    <col min="11794" max="11796" width="0" style="433" hidden="1" customWidth="1"/>
    <col min="11797" max="11797" width="11.5546875" style="433" customWidth="1"/>
    <col min="11798" max="11798" width="12.5546875" style="433" customWidth="1"/>
    <col min="11799" max="11800" width="0" style="433" hidden="1" customWidth="1"/>
    <col min="11801" max="11801" width="8.6640625" style="433" customWidth="1"/>
    <col min="11802" max="11803" width="0" style="433" hidden="1" customWidth="1"/>
    <col min="11804" max="11804" width="11.109375" style="433" customWidth="1"/>
    <col min="11805" max="12032" width="9.109375" style="433"/>
    <col min="12033" max="12033" width="0.109375" style="433" customWidth="1"/>
    <col min="12034" max="12034" width="3.6640625" style="433" customWidth="1"/>
    <col min="12035" max="12035" width="4.33203125" style="433" customWidth="1"/>
    <col min="12036" max="12044" width="0" style="433" hidden="1" customWidth="1"/>
    <col min="12045" max="12047" width="9.109375" style="433"/>
    <col min="12048" max="12048" width="7.109375" style="433" customWidth="1"/>
    <col min="12049" max="12049" width="2.44140625" style="433" customWidth="1"/>
    <col min="12050" max="12052" width="0" style="433" hidden="1" customWidth="1"/>
    <col min="12053" max="12053" width="11.5546875" style="433" customWidth="1"/>
    <col min="12054" max="12054" width="12.5546875" style="433" customWidth="1"/>
    <col min="12055" max="12056" width="0" style="433" hidden="1" customWidth="1"/>
    <col min="12057" max="12057" width="8.6640625" style="433" customWidth="1"/>
    <col min="12058" max="12059" width="0" style="433" hidden="1" customWidth="1"/>
    <col min="12060" max="12060" width="11.109375" style="433" customWidth="1"/>
    <col min="12061" max="12288" width="9.109375" style="433"/>
    <col min="12289" max="12289" width="0.109375" style="433" customWidth="1"/>
    <col min="12290" max="12290" width="3.6640625" style="433" customWidth="1"/>
    <col min="12291" max="12291" width="4.33203125" style="433" customWidth="1"/>
    <col min="12292" max="12300" width="0" style="433" hidden="1" customWidth="1"/>
    <col min="12301" max="12303" width="9.109375" style="433"/>
    <col min="12304" max="12304" width="7.109375" style="433" customWidth="1"/>
    <col min="12305" max="12305" width="2.44140625" style="433" customWidth="1"/>
    <col min="12306" max="12308" width="0" style="433" hidden="1" customWidth="1"/>
    <col min="12309" max="12309" width="11.5546875" style="433" customWidth="1"/>
    <col min="12310" max="12310" width="12.5546875" style="433" customWidth="1"/>
    <col min="12311" max="12312" width="0" style="433" hidden="1" customWidth="1"/>
    <col min="12313" max="12313" width="8.6640625" style="433" customWidth="1"/>
    <col min="12314" max="12315" width="0" style="433" hidden="1" customWidth="1"/>
    <col min="12316" max="12316" width="11.109375" style="433" customWidth="1"/>
    <col min="12317" max="12544" width="9.109375" style="433"/>
    <col min="12545" max="12545" width="0.109375" style="433" customWidth="1"/>
    <col min="12546" max="12546" width="3.6640625" style="433" customWidth="1"/>
    <col min="12547" max="12547" width="4.33203125" style="433" customWidth="1"/>
    <col min="12548" max="12556" width="0" style="433" hidden="1" customWidth="1"/>
    <col min="12557" max="12559" width="9.109375" style="433"/>
    <col min="12560" max="12560" width="7.109375" style="433" customWidth="1"/>
    <col min="12561" max="12561" width="2.44140625" style="433" customWidth="1"/>
    <col min="12562" max="12564" width="0" style="433" hidden="1" customWidth="1"/>
    <col min="12565" max="12565" width="11.5546875" style="433" customWidth="1"/>
    <col min="12566" max="12566" width="12.5546875" style="433" customWidth="1"/>
    <col min="12567" max="12568" width="0" style="433" hidden="1" customWidth="1"/>
    <col min="12569" max="12569" width="8.6640625" style="433" customWidth="1"/>
    <col min="12570" max="12571" width="0" style="433" hidden="1" customWidth="1"/>
    <col min="12572" max="12572" width="11.109375" style="433" customWidth="1"/>
    <col min="12573" max="12800" width="9.109375" style="433"/>
    <col min="12801" max="12801" width="0.109375" style="433" customWidth="1"/>
    <col min="12802" max="12802" width="3.6640625" style="433" customWidth="1"/>
    <col min="12803" max="12803" width="4.33203125" style="433" customWidth="1"/>
    <col min="12804" max="12812" width="0" style="433" hidden="1" customWidth="1"/>
    <col min="12813" max="12815" width="9.109375" style="433"/>
    <col min="12816" max="12816" width="7.109375" style="433" customWidth="1"/>
    <col min="12817" max="12817" width="2.44140625" style="433" customWidth="1"/>
    <col min="12818" max="12820" width="0" style="433" hidden="1" customWidth="1"/>
    <col min="12821" max="12821" width="11.5546875" style="433" customWidth="1"/>
    <col min="12822" max="12822" width="12.5546875" style="433" customWidth="1"/>
    <col min="12823" max="12824" width="0" style="433" hidden="1" customWidth="1"/>
    <col min="12825" max="12825" width="8.6640625" style="433" customWidth="1"/>
    <col min="12826" max="12827" width="0" style="433" hidden="1" customWidth="1"/>
    <col min="12828" max="12828" width="11.109375" style="433" customWidth="1"/>
    <col min="12829" max="13056" width="9.109375" style="433"/>
    <col min="13057" max="13057" width="0.109375" style="433" customWidth="1"/>
    <col min="13058" max="13058" width="3.6640625" style="433" customWidth="1"/>
    <col min="13059" max="13059" width="4.33203125" style="433" customWidth="1"/>
    <col min="13060" max="13068" width="0" style="433" hidden="1" customWidth="1"/>
    <col min="13069" max="13071" width="9.109375" style="433"/>
    <col min="13072" max="13072" width="7.109375" style="433" customWidth="1"/>
    <col min="13073" max="13073" width="2.44140625" style="433" customWidth="1"/>
    <col min="13074" max="13076" width="0" style="433" hidden="1" customWidth="1"/>
    <col min="13077" max="13077" width="11.5546875" style="433" customWidth="1"/>
    <col min="13078" max="13078" width="12.5546875" style="433" customWidth="1"/>
    <col min="13079" max="13080" width="0" style="433" hidden="1" customWidth="1"/>
    <col min="13081" max="13081" width="8.6640625" style="433" customWidth="1"/>
    <col min="13082" max="13083" width="0" style="433" hidden="1" customWidth="1"/>
    <col min="13084" max="13084" width="11.109375" style="433" customWidth="1"/>
    <col min="13085" max="13312" width="9.109375" style="433"/>
    <col min="13313" max="13313" width="0.109375" style="433" customWidth="1"/>
    <col min="13314" max="13314" width="3.6640625" style="433" customWidth="1"/>
    <col min="13315" max="13315" width="4.33203125" style="433" customWidth="1"/>
    <col min="13316" max="13324" width="0" style="433" hidden="1" customWidth="1"/>
    <col min="13325" max="13327" width="9.109375" style="433"/>
    <col min="13328" max="13328" width="7.109375" style="433" customWidth="1"/>
    <col min="13329" max="13329" width="2.44140625" style="433" customWidth="1"/>
    <col min="13330" max="13332" width="0" style="433" hidden="1" customWidth="1"/>
    <col min="13333" max="13333" width="11.5546875" style="433" customWidth="1"/>
    <col min="13334" max="13334" width="12.5546875" style="433" customWidth="1"/>
    <col min="13335" max="13336" width="0" style="433" hidden="1" customWidth="1"/>
    <col min="13337" max="13337" width="8.6640625" style="433" customWidth="1"/>
    <col min="13338" max="13339" width="0" style="433" hidden="1" customWidth="1"/>
    <col min="13340" max="13340" width="11.109375" style="433" customWidth="1"/>
    <col min="13341" max="13568" width="9.109375" style="433"/>
    <col min="13569" max="13569" width="0.109375" style="433" customWidth="1"/>
    <col min="13570" max="13570" width="3.6640625" style="433" customWidth="1"/>
    <col min="13571" max="13571" width="4.33203125" style="433" customWidth="1"/>
    <col min="13572" max="13580" width="0" style="433" hidden="1" customWidth="1"/>
    <col min="13581" max="13583" width="9.109375" style="433"/>
    <col min="13584" max="13584" width="7.109375" style="433" customWidth="1"/>
    <col min="13585" max="13585" width="2.44140625" style="433" customWidth="1"/>
    <col min="13586" max="13588" width="0" style="433" hidden="1" customWidth="1"/>
    <col min="13589" max="13589" width="11.5546875" style="433" customWidth="1"/>
    <col min="13590" max="13590" width="12.5546875" style="433" customWidth="1"/>
    <col min="13591" max="13592" width="0" style="433" hidden="1" customWidth="1"/>
    <col min="13593" max="13593" width="8.6640625" style="433" customWidth="1"/>
    <col min="13594" max="13595" width="0" style="433" hidden="1" customWidth="1"/>
    <col min="13596" max="13596" width="11.109375" style="433" customWidth="1"/>
    <col min="13597" max="13824" width="9.109375" style="433"/>
    <col min="13825" max="13825" width="0.109375" style="433" customWidth="1"/>
    <col min="13826" max="13826" width="3.6640625" style="433" customWidth="1"/>
    <col min="13827" max="13827" width="4.33203125" style="433" customWidth="1"/>
    <col min="13828" max="13836" width="0" style="433" hidden="1" customWidth="1"/>
    <col min="13837" max="13839" width="9.109375" style="433"/>
    <col min="13840" max="13840" width="7.109375" style="433" customWidth="1"/>
    <col min="13841" max="13841" width="2.44140625" style="433" customWidth="1"/>
    <col min="13842" max="13844" width="0" style="433" hidden="1" customWidth="1"/>
    <col min="13845" max="13845" width="11.5546875" style="433" customWidth="1"/>
    <col min="13846" max="13846" width="12.5546875" style="433" customWidth="1"/>
    <col min="13847" max="13848" width="0" style="433" hidden="1" customWidth="1"/>
    <col min="13849" max="13849" width="8.6640625" style="433" customWidth="1"/>
    <col min="13850" max="13851" width="0" style="433" hidden="1" customWidth="1"/>
    <col min="13852" max="13852" width="11.109375" style="433" customWidth="1"/>
    <col min="13853" max="14080" width="9.109375" style="433"/>
    <col min="14081" max="14081" width="0.109375" style="433" customWidth="1"/>
    <col min="14082" max="14082" width="3.6640625" style="433" customWidth="1"/>
    <col min="14083" max="14083" width="4.33203125" style="433" customWidth="1"/>
    <col min="14084" max="14092" width="0" style="433" hidden="1" customWidth="1"/>
    <col min="14093" max="14095" width="9.109375" style="433"/>
    <col min="14096" max="14096" width="7.109375" style="433" customWidth="1"/>
    <col min="14097" max="14097" width="2.44140625" style="433" customWidth="1"/>
    <col min="14098" max="14100" width="0" style="433" hidden="1" customWidth="1"/>
    <col min="14101" max="14101" width="11.5546875" style="433" customWidth="1"/>
    <col min="14102" max="14102" width="12.5546875" style="433" customWidth="1"/>
    <col min="14103" max="14104" width="0" style="433" hidden="1" customWidth="1"/>
    <col min="14105" max="14105" width="8.6640625" style="433" customWidth="1"/>
    <col min="14106" max="14107" width="0" style="433" hidden="1" customWidth="1"/>
    <col min="14108" max="14108" width="11.109375" style="433" customWidth="1"/>
    <col min="14109" max="14336" width="9.109375" style="433"/>
    <col min="14337" max="14337" width="0.109375" style="433" customWidth="1"/>
    <col min="14338" max="14338" width="3.6640625" style="433" customWidth="1"/>
    <col min="14339" max="14339" width="4.33203125" style="433" customWidth="1"/>
    <col min="14340" max="14348" width="0" style="433" hidden="1" customWidth="1"/>
    <col min="14349" max="14351" width="9.109375" style="433"/>
    <col min="14352" max="14352" width="7.109375" style="433" customWidth="1"/>
    <col min="14353" max="14353" width="2.44140625" style="433" customWidth="1"/>
    <col min="14354" max="14356" width="0" style="433" hidden="1" customWidth="1"/>
    <col min="14357" max="14357" width="11.5546875" style="433" customWidth="1"/>
    <col min="14358" max="14358" width="12.5546875" style="433" customWidth="1"/>
    <col min="14359" max="14360" width="0" style="433" hidden="1" customWidth="1"/>
    <col min="14361" max="14361" width="8.6640625" style="433" customWidth="1"/>
    <col min="14362" max="14363" width="0" style="433" hidden="1" customWidth="1"/>
    <col min="14364" max="14364" width="11.109375" style="433" customWidth="1"/>
    <col min="14365" max="14592" width="9.109375" style="433"/>
    <col min="14593" max="14593" width="0.109375" style="433" customWidth="1"/>
    <col min="14594" max="14594" width="3.6640625" style="433" customWidth="1"/>
    <col min="14595" max="14595" width="4.33203125" style="433" customWidth="1"/>
    <col min="14596" max="14604" width="0" style="433" hidden="1" customWidth="1"/>
    <col min="14605" max="14607" width="9.109375" style="433"/>
    <col min="14608" max="14608" width="7.109375" style="433" customWidth="1"/>
    <col min="14609" max="14609" width="2.44140625" style="433" customWidth="1"/>
    <col min="14610" max="14612" width="0" style="433" hidden="1" customWidth="1"/>
    <col min="14613" max="14613" width="11.5546875" style="433" customWidth="1"/>
    <col min="14614" max="14614" width="12.5546875" style="433" customWidth="1"/>
    <col min="14615" max="14616" width="0" style="433" hidden="1" customWidth="1"/>
    <col min="14617" max="14617" width="8.6640625" style="433" customWidth="1"/>
    <col min="14618" max="14619" width="0" style="433" hidden="1" customWidth="1"/>
    <col min="14620" max="14620" width="11.109375" style="433" customWidth="1"/>
    <col min="14621" max="14848" width="9.109375" style="433"/>
    <col min="14849" max="14849" width="0.109375" style="433" customWidth="1"/>
    <col min="14850" max="14850" width="3.6640625" style="433" customWidth="1"/>
    <col min="14851" max="14851" width="4.33203125" style="433" customWidth="1"/>
    <col min="14852" max="14860" width="0" style="433" hidden="1" customWidth="1"/>
    <col min="14861" max="14863" width="9.109375" style="433"/>
    <col min="14864" max="14864" width="7.109375" style="433" customWidth="1"/>
    <col min="14865" max="14865" width="2.44140625" style="433" customWidth="1"/>
    <col min="14866" max="14868" width="0" style="433" hidden="1" customWidth="1"/>
    <col min="14869" max="14869" width="11.5546875" style="433" customWidth="1"/>
    <col min="14870" max="14870" width="12.5546875" style="433" customWidth="1"/>
    <col min="14871" max="14872" width="0" style="433" hidden="1" customWidth="1"/>
    <col min="14873" max="14873" width="8.6640625" style="433" customWidth="1"/>
    <col min="14874" max="14875" width="0" style="433" hidden="1" customWidth="1"/>
    <col min="14876" max="14876" width="11.109375" style="433" customWidth="1"/>
    <col min="14877" max="15104" width="9.109375" style="433"/>
    <col min="15105" max="15105" width="0.109375" style="433" customWidth="1"/>
    <col min="15106" max="15106" width="3.6640625" style="433" customWidth="1"/>
    <col min="15107" max="15107" width="4.33203125" style="433" customWidth="1"/>
    <col min="15108" max="15116" width="0" style="433" hidden="1" customWidth="1"/>
    <col min="15117" max="15119" width="9.109375" style="433"/>
    <col min="15120" max="15120" width="7.109375" style="433" customWidth="1"/>
    <col min="15121" max="15121" width="2.44140625" style="433" customWidth="1"/>
    <col min="15122" max="15124" width="0" style="433" hidden="1" customWidth="1"/>
    <col min="15125" max="15125" width="11.5546875" style="433" customWidth="1"/>
    <col min="15126" max="15126" width="12.5546875" style="433" customWidth="1"/>
    <col min="15127" max="15128" width="0" style="433" hidden="1" customWidth="1"/>
    <col min="15129" max="15129" width="8.6640625" style="433" customWidth="1"/>
    <col min="15130" max="15131" width="0" style="433" hidden="1" customWidth="1"/>
    <col min="15132" max="15132" width="11.109375" style="433" customWidth="1"/>
    <col min="15133" max="15360" width="9.109375" style="433"/>
    <col min="15361" max="15361" width="0.109375" style="433" customWidth="1"/>
    <col min="15362" max="15362" width="3.6640625" style="433" customWidth="1"/>
    <col min="15363" max="15363" width="4.33203125" style="433" customWidth="1"/>
    <col min="15364" max="15372" width="0" style="433" hidden="1" customWidth="1"/>
    <col min="15373" max="15375" width="9.109375" style="433"/>
    <col min="15376" max="15376" width="7.109375" style="433" customWidth="1"/>
    <col min="15377" max="15377" width="2.44140625" style="433" customWidth="1"/>
    <col min="15378" max="15380" width="0" style="433" hidden="1" customWidth="1"/>
    <col min="15381" max="15381" width="11.5546875" style="433" customWidth="1"/>
    <col min="15382" max="15382" width="12.5546875" style="433" customWidth="1"/>
    <col min="15383" max="15384" width="0" style="433" hidden="1" customWidth="1"/>
    <col min="15385" max="15385" width="8.6640625" style="433" customWidth="1"/>
    <col min="15386" max="15387" width="0" style="433" hidden="1" customWidth="1"/>
    <col min="15388" max="15388" width="11.109375" style="433" customWidth="1"/>
    <col min="15389" max="15616" width="9.109375" style="433"/>
    <col min="15617" max="15617" width="0.109375" style="433" customWidth="1"/>
    <col min="15618" max="15618" width="3.6640625" style="433" customWidth="1"/>
    <col min="15619" max="15619" width="4.33203125" style="433" customWidth="1"/>
    <col min="15620" max="15628" width="0" style="433" hidden="1" customWidth="1"/>
    <col min="15629" max="15631" width="9.109375" style="433"/>
    <col min="15632" max="15632" width="7.109375" style="433" customWidth="1"/>
    <col min="15633" max="15633" width="2.44140625" style="433" customWidth="1"/>
    <col min="15634" max="15636" width="0" style="433" hidden="1" customWidth="1"/>
    <col min="15637" max="15637" width="11.5546875" style="433" customWidth="1"/>
    <col min="15638" max="15638" width="12.5546875" style="433" customWidth="1"/>
    <col min="15639" max="15640" width="0" style="433" hidden="1" customWidth="1"/>
    <col min="15641" max="15641" width="8.6640625" style="433" customWidth="1"/>
    <col min="15642" max="15643" width="0" style="433" hidden="1" customWidth="1"/>
    <col min="15644" max="15644" width="11.109375" style="433" customWidth="1"/>
    <col min="15645" max="15872" width="9.109375" style="433"/>
    <col min="15873" max="15873" width="0.109375" style="433" customWidth="1"/>
    <col min="15874" max="15874" width="3.6640625" style="433" customWidth="1"/>
    <col min="15875" max="15875" width="4.33203125" style="433" customWidth="1"/>
    <col min="15876" max="15884" width="0" style="433" hidden="1" customWidth="1"/>
    <col min="15885" max="15887" width="9.109375" style="433"/>
    <col min="15888" max="15888" width="7.109375" style="433" customWidth="1"/>
    <col min="15889" max="15889" width="2.44140625" style="433" customWidth="1"/>
    <col min="15890" max="15892" width="0" style="433" hidden="1" customWidth="1"/>
    <col min="15893" max="15893" width="11.5546875" style="433" customWidth="1"/>
    <col min="15894" max="15894" width="12.5546875" style="433" customWidth="1"/>
    <col min="15895" max="15896" width="0" style="433" hidden="1" customWidth="1"/>
    <col min="15897" max="15897" width="8.6640625" style="433" customWidth="1"/>
    <col min="15898" max="15899" width="0" style="433" hidden="1" customWidth="1"/>
    <col min="15900" max="15900" width="11.109375" style="433" customWidth="1"/>
    <col min="15901" max="16128" width="9.109375" style="433"/>
    <col min="16129" max="16129" width="0.109375" style="433" customWidth="1"/>
    <col min="16130" max="16130" width="3.6640625" style="433" customWidth="1"/>
    <col min="16131" max="16131" width="4.33203125" style="433" customWidth="1"/>
    <col min="16132" max="16140" width="0" style="433" hidden="1" customWidth="1"/>
    <col min="16141" max="16143" width="9.109375" style="433"/>
    <col min="16144" max="16144" width="7.109375" style="433" customWidth="1"/>
    <col min="16145" max="16145" width="2.44140625" style="433" customWidth="1"/>
    <col min="16146" max="16148" width="0" style="433" hidden="1" customWidth="1"/>
    <col min="16149" max="16149" width="11.5546875" style="433" customWidth="1"/>
    <col min="16150" max="16150" width="12.5546875" style="433" customWidth="1"/>
    <col min="16151" max="16152" width="0" style="433" hidden="1" customWidth="1"/>
    <col min="16153" max="16153" width="8.6640625" style="433" customWidth="1"/>
    <col min="16154" max="16155" width="0" style="433" hidden="1" customWidth="1"/>
    <col min="16156" max="16156" width="11.109375" style="433" customWidth="1"/>
    <col min="16157" max="16384" width="9.109375" style="433"/>
  </cols>
  <sheetData>
    <row r="1" spans="1:33">
      <c r="B1" s="823" t="s">
        <v>3828</v>
      </c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823"/>
      <c r="S1" s="823"/>
      <c r="T1" s="823"/>
      <c r="U1" s="823"/>
      <c r="V1" s="823"/>
      <c r="W1" s="823"/>
      <c r="X1" s="823"/>
      <c r="Y1" s="823"/>
      <c r="Z1" s="823"/>
      <c r="AA1" s="823"/>
      <c r="AB1" s="823"/>
      <c r="AC1" s="660"/>
    </row>
    <row r="2" spans="1:33"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AC2" s="660"/>
    </row>
    <row r="3" spans="1:33">
      <c r="B3" s="824" t="s">
        <v>3829</v>
      </c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AC3" s="660"/>
    </row>
    <row r="4" spans="1:33" ht="2.4" customHeight="1" thickBot="1">
      <c r="B4" s="660"/>
      <c r="C4" s="662"/>
      <c r="D4" s="660"/>
      <c r="E4" s="660"/>
      <c r="F4" s="660"/>
      <c r="G4" s="660"/>
      <c r="H4" s="660"/>
      <c r="I4" s="660"/>
      <c r="J4" s="660"/>
      <c r="K4" s="660"/>
      <c r="L4" s="663"/>
      <c r="M4" s="662"/>
      <c r="N4" s="660"/>
      <c r="AB4" s="660"/>
      <c r="AC4" s="660"/>
    </row>
    <row r="5" spans="1:33" ht="26.4" customHeight="1" thickBot="1">
      <c r="A5" s="660"/>
      <c r="B5" s="708" t="s">
        <v>3830</v>
      </c>
      <c r="C5" s="709" t="s">
        <v>3831</v>
      </c>
      <c r="D5" s="710"/>
      <c r="E5" s="710"/>
      <c r="F5" s="710"/>
      <c r="G5" s="710"/>
      <c r="H5" s="710"/>
      <c r="I5" s="710"/>
      <c r="J5" s="710"/>
      <c r="K5" s="710"/>
      <c r="L5" s="711"/>
      <c r="M5" s="826" t="s">
        <v>1289</v>
      </c>
      <c r="N5" s="827"/>
      <c r="O5" s="827"/>
      <c r="P5" s="828"/>
      <c r="Q5" s="712" t="s">
        <v>3832</v>
      </c>
      <c r="R5" s="710"/>
      <c r="S5" s="710"/>
      <c r="T5" s="711"/>
      <c r="U5" s="708" t="s">
        <v>3833</v>
      </c>
      <c r="V5" s="708" t="s">
        <v>3834</v>
      </c>
      <c r="W5" s="710"/>
      <c r="X5" s="710"/>
      <c r="Y5" s="710" t="s">
        <v>3835</v>
      </c>
      <c r="Z5" s="710"/>
      <c r="AA5" s="713"/>
      <c r="AB5" s="714" t="s">
        <v>1256</v>
      </c>
      <c r="AC5" s="660"/>
    </row>
    <row r="6" spans="1:33" ht="14.4" customHeight="1">
      <c r="A6" s="663"/>
      <c r="B6" s="664">
        <v>4116</v>
      </c>
      <c r="C6" s="829" t="s">
        <v>3836</v>
      </c>
      <c r="D6" s="830"/>
      <c r="E6" s="830"/>
      <c r="F6" s="830"/>
      <c r="G6" s="830"/>
      <c r="H6" s="830"/>
      <c r="I6" s="830"/>
      <c r="J6" s="830"/>
      <c r="K6" s="830"/>
      <c r="L6" s="831"/>
      <c r="M6" s="832" t="s">
        <v>3837</v>
      </c>
      <c r="N6" s="832"/>
      <c r="O6" s="832"/>
      <c r="P6" s="832"/>
      <c r="Q6" s="833"/>
      <c r="R6" s="833"/>
      <c r="S6" s="833"/>
      <c r="T6" s="833"/>
      <c r="U6" s="665">
        <v>165000</v>
      </c>
      <c r="V6" s="834">
        <v>145639</v>
      </c>
      <c r="W6" s="834"/>
      <c r="X6" s="834"/>
      <c r="Y6" s="666">
        <v>88.27</v>
      </c>
      <c r="Z6" s="667"/>
      <c r="AA6" s="668"/>
      <c r="AB6" s="669" t="s">
        <v>3838</v>
      </c>
      <c r="AC6" s="660"/>
    </row>
    <row r="7" spans="1:33">
      <c r="A7" s="663"/>
      <c r="B7" s="670">
        <v>4116</v>
      </c>
      <c r="C7" s="841" t="s">
        <v>1700</v>
      </c>
      <c r="D7" s="841"/>
      <c r="E7" s="841"/>
      <c r="F7" s="841"/>
      <c r="G7" s="841"/>
      <c r="H7" s="841"/>
      <c r="I7" s="841"/>
      <c r="J7" s="841"/>
      <c r="K7" s="841"/>
      <c r="L7" s="841"/>
      <c r="M7" s="838" t="s">
        <v>1701</v>
      </c>
      <c r="N7" s="838"/>
      <c r="O7" s="838"/>
      <c r="P7" s="838"/>
      <c r="Q7" s="833"/>
      <c r="R7" s="833"/>
      <c r="S7" s="833"/>
      <c r="T7" s="833"/>
      <c r="U7" s="665">
        <v>45429182.280000001</v>
      </c>
      <c r="V7" s="834">
        <v>24713190.960000001</v>
      </c>
      <c r="W7" s="834"/>
      <c r="X7" s="834"/>
      <c r="Y7" s="666">
        <f t="shared" ref="Y7:Y16" si="0">V7/U7*100</f>
        <v>54.399374410223253</v>
      </c>
      <c r="Z7" s="667"/>
      <c r="AA7" s="668"/>
      <c r="AB7" s="671" t="s">
        <v>1259</v>
      </c>
      <c r="AC7" s="660"/>
    </row>
    <row r="8" spans="1:33" ht="19.95" customHeight="1">
      <c r="A8" s="663"/>
      <c r="B8" s="672">
        <v>4116</v>
      </c>
      <c r="C8" s="835" t="s">
        <v>1702</v>
      </c>
      <c r="D8" s="836"/>
      <c r="E8" s="836"/>
      <c r="F8" s="836"/>
      <c r="G8" s="836"/>
      <c r="H8" s="836"/>
      <c r="I8" s="836"/>
      <c r="J8" s="836"/>
      <c r="K8" s="836"/>
      <c r="L8" s="837"/>
      <c r="M8" s="838" t="s">
        <v>1703</v>
      </c>
      <c r="N8" s="838"/>
      <c r="O8" s="838"/>
      <c r="P8" s="838"/>
      <c r="Q8" s="839"/>
      <c r="R8" s="839"/>
      <c r="S8" s="839"/>
      <c r="T8" s="839"/>
      <c r="U8" s="673">
        <v>11849439</v>
      </c>
      <c r="V8" s="840">
        <v>11849439</v>
      </c>
      <c r="W8" s="840"/>
      <c r="X8" s="840"/>
      <c r="Y8" s="674">
        <f t="shared" si="0"/>
        <v>100</v>
      </c>
      <c r="Z8" s="675"/>
      <c r="AA8" s="676"/>
      <c r="AB8" s="677" t="s">
        <v>1259</v>
      </c>
      <c r="AC8" s="660"/>
      <c r="AE8" s="660"/>
      <c r="AF8" s="660"/>
      <c r="AG8" s="660"/>
    </row>
    <row r="9" spans="1:33" ht="21" customHeight="1">
      <c r="A9" s="663"/>
      <c r="B9" s="672">
        <v>4116</v>
      </c>
      <c r="C9" s="835">
        <v>14004</v>
      </c>
      <c r="D9" s="836"/>
      <c r="E9" s="836"/>
      <c r="F9" s="836"/>
      <c r="G9" s="836"/>
      <c r="H9" s="836"/>
      <c r="I9" s="836"/>
      <c r="J9" s="836"/>
      <c r="K9" s="836"/>
      <c r="L9" s="837"/>
      <c r="M9" s="838" t="s">
        <v>3839</v>
      </c>
      <c r="N9" s="838"/>
      <c r="O9" s="838"/>
      <c r="P9" s="838"/>
      <c r="Q9" s="839"/>
      <c r="R9" s="839"/>
      <c r="S9" s="678"/>
      <c r="T9" s="678"/>
      <c r="U9" s="673">
        <v>4679000</v>
      </c>
      <c r="V9" s="840">
        <v>4679000</v>
      </c>
      <c r="W9" s="840"/>
      <c r="X9" s="840"/>
      <c r="Y9" s="674">
        <f t="shared" si="0"/>
        <v>100</v>
      </c>
      <c r="Z9" s="675"/>
      <c r="AA9" s="676"/>
      <c r="AB9" s="679" t="s">
        <v>1269</v>
      </c>
      <c r="AC9" s="660"/>
      <c r="AF9" s="660"/>
    </row>
    <row r="10" spans="1:33" ht="20.399999999999999" customHeight="1">
      <c r="A10" s="663"/>
      <c r="B10" s="672">
        <v>4116</v>
      </c>
      <c r="C10" s="835" t="s">
        <v>3840</v>
      </c>
      <c r="D10" s="836"/>
      <c r="E10" s="836"/>
      <c r="F10" s="836"/>
      <c r="G10" s="836"/>
      <c r="H10" s="836"/>
      <c r="I10" s="836"/>
      <c r="J10" s="836"/>
      <c r="K10" s="836"/>
      <c r="L10" s="837"/>
      <c r="M10" s="838" t="s">
        <v>3841</v>
      </c>
      <c r="N10" s="838"/>
      <c r="O10" s="838"/>
      <c r="P10" s="838"/>
      <c r="Q10" s="839"/>
      <c r="R10" s="839"/>
      <c r="S10" s="839"/>
      <c r="T10" s="839"/>
      <c r="U10" s="673">
        <v>155919</v>
      </c>
      <c r="V10" s="840">
        <v>155919</v>
      </c>
      <c r="W10" s="840"/>
      <c r="X10" s="840"/>
      <c r="Y10" s="674">
        <f t="shared" si="0"/>
        <v>100</v>
      </c>
      <c r="Z10" s="675"/>
      <c r="AA10" s="676"/>
      <c r="AB10" s="679" t="s">
        <v>1269</v>
      </c>
      <c r="AC10" s="660"/>
    </row>
    <row r="11" spans="1:33" ht="21.6" customHeight="1">
      <c r="A11" s="663"/>
      <c r="B11" s="672">
        <v>4116</v>
      </c>
      <c r="C11" s="835" t="s">
        <v>3842</v>
      </c>
      <c r="D11" s="836"/>
      <c r="E11" s="836"/>
      <c r="F11" s="836"/>
      <c r="G11" s="836"/>
      <c r="H11" s="836"/>
      <c r="I11" s="836"/>
      <c r="J11" s="836"/>
      <c r="K11" s="836"/>
      <c r="L11" s="837"/>
      <c r="M11" s="838" t="s">
        <v>3843</v>
      </c>
      <c r="N11" s="838"/>
      <c r="O11" s="838"/>
      <c r="P11" s="838"/>
      <c r="Q11" s="839"/>
      <c r="R11" s="839"/>
      <c r="S11" s="839"/>
      <c r="T11" s="839"/>
      <c r="U11" s="673">
        <v>491470</v>
      </c>
      <c r="V11" s="840">
        <v>571760.05000000005</v>
      </c>
      <c r="W11" s="840"/>
      <c r="X11" s="840"/>
      <c r="Y11" s="674">
        <f t="shared" si="0"/>
        <v>116.33671434675566</v>
      </c>
      <c r="Z11" s="675"/>
      <c r="AA11" s="676"/>
      <c r="AB11" s="679" t="s">
        <v>1269</v>
      </c>
      <c r="AC11" s="660"/>
    </row>
    <row r="12" spans="1:33" ht="17.399999999999999" customHeight="1">
      <c r="A12" s="663"/>
      <c r="B12" s="672">
        <v>4116</v>
      </c>
      <c r="C12" s="841" t="s">
        <v>3844</v>
      </c>
      <c r="D12" s="841"/>
      <c r="E12" s="841"/>
      <c r="F12" s="841"/>
      <c r="G12" s="841"/>
      <c r="H12" s="841"/>
      <c r="I12" s="841"/>
      <c r="J12" s="841"/>
      <c r="K12" s="841"/>
      <c r="L12" s="841"/>
      <c r="M12" s="838" t="s">
        <v>3845</v>
      </c>
      <c r="N12" s="838"/>
      <c r="O12" s="838"/>
      <c r="P12" s="838"/>
      <c r="Q12" s="839"/>
      <c r="R12" s="839"/>
      <c r="S12" s="839"/>
      <c r="T12" s="839"/>
      <c r="U12" s="673">
        <v>3277863.5</v>
      </c>
      <c r="V12" s="840">
        <v>106346.2</v>
      </c>
      <c r="W12" s="840"/>
      <c r="X12" s="840"/>
      <c r="Y12" s="674">
        <f t="shared" si="0"/>
        <v>3.2443754903155666</v>
      </c>
      <c r="Z12" s="675"/>
      <c r="AA12" s="676"/>
      <c r="AB12" s="679" t="s">
        <v>1269</v>
      </c>
      <c r="AC12" s="660"/>
      <c r="AD12" s="660"/>
      <c r="AE12" s="660"/>
    </row>
    <row r="13" spans="1:33" ht="19.95" customHeight="1">
      <c r="A13" s="663"/>
      <c r="B13" s="672">
        <v>4116</v>
      </c>
      <c r="C13" s="841" t="s">
        <v>3846</v>
      </c>
      <c r="D13" s="841"/>
      <c r="E13" s="841"/>
      <c r="F13" s="841"/>
      <c r="G13" s="841"/>
      <c r="H13" s="841"/>
      <c r="I13" s="841"/>
      <c r="J13" s="841"/>
      <c r="K13" s="841"/>
      <c r="L13" s="841"/>
      <c r="M13" s="838" t="s">
        <v>3847</v>
      </c>
      <c r="N13" s="838"/>
      <c r="O13" s="838"/>
      <c r="P13" s="838"/>
      <c r="Q13" s="839"/>
      <c r="R13" s="839"/>
      <c r="S13" s="839"/>
      <c r="T13" s="839"/>
      <c r="U13" s="673">
        <v>1675296.59</v>
      </c>
      <c r="V13" s="840">
        <v>2520152.39</v>
      </c>
      <c r="W13" s="840"/>
      <c r="X13" s="840"/>
      <c r="Y13" s="674">
        <f t="shared" si="0"/>
        <v>150.43022262702749</v>
      </c>
      <c r="Z13" s="675"/>
      <c r="AA13" s="676"/>
      <c r="AB13" s="679" t="s">
        <v>3848</v>
      </c>
      <c r="AC13" s="660"/>
    </row>
    <row r="14" spans="1:33" ht="21.6" customHeight="1">
      <c r="A14" s="663"/>
      <c r="B14" s="672">
        <v>4116</v>
      </c>
      <c r="C14" s="841" t="s">
        <v>3849</v>
      </c>
      <c r="D14" s="841"/>
      <c r="E14" s="841"/>
      <c r="F14" s="841"/>
      <c r="G14" s="841"/>
      <c r="H14" s="841"/>
      <c r="I14" s="841"/>
      <c r="J14" s="841"/>
      <c r="K14" s="841"/>
      <c r="L14" s="841"/>
      <c r="M14" s="838" t="s">
        <v>3850</v>
      </c>
      <c r="N14" s="838"/>
      <c r="O14" s="838"/>
      <c r="P14" s="838"/>
      <c r="Q14" s="839"/>
      <c r="R14" s="839"/>
      <c r="S14" s="839"/>
      <c r="T14" s="839"/>
      <c r="U14" s="673">
        <v>283408.39999999997</v>
      </c>
      <c r="V14" s="840">
        <v>277077.59999999998</v>
      </c>
      <c r="W14" s="840"/>
      <c r="X14" s="840"/>
      <c r="Y14" s="674">
        <f t="shared" si="0"/>
        <v>97.766191827765169</v>
      </c>
      <c r="Z14" s="675"/>
      <c r="AA14" s="676"/>
      <c r="AB14" s="679" t="s">
        <v>3848</v>
      </c>
      <c r="AC14" s="660"/>
    </row>
    <row r="15" spans="1:33" ht="21.6" customHeight="1">
      <c r="A15" s="663"/>
      <c r="B15" s="672">
        <v>4116</v>
      </c>
      <c r="C15" s="841" t="s">
        <v>3851</v>
      </c>
      <c r="D15" s="841"/>
      <c r="E15" s="841"/>
      <c r="F15" s="841"/>
      <c r="G15" s="841"/>
      <c r="H15" s="841"/>
      <c r="I15" s="841"/>
      <c r="J15" s="841"/>
      <c r="K15" s="841"/>
      <c r="L15" s="841"/>
      <c r="M15" s="838" t="s">
        <v>3852</v>
      </c>
      <c r="N15" s="838"/>
      <c r="O15" s="838"/>
      <c r="P15" s="838"/>
      <c r="Q15" s="839"/>
      <c r="R15" s="839"/>
      <c r="S15" s="839"/>
      <c r="T15" s="839"/>
      <c r="U15" s="673">
        <v>4817942.8</v>
      </c>
      <c r="V15" s="840">
        <v>4710319.2</v>
      </c>
      <c r="W15" s="840"/>
      <c r="X15" s="840"/>
      <c r="Y15" s="674">
        <f t="shared" si="0"/>
        <v>97.766191827765169</v>
      </c>
      <c r="Z15" s="675"/>
      <c r="AA15" s="676"/>
      <c r="AB15" s="679" t="s">
        <v>3848</v>
      </c>
      <c r="AC15" s="660"/>
    </row>
    <row r="16" spans="1:33" ht="21" customHeight="1">
      <c r="A16" s="663"/>
      <c r="B16" s="672">
        <v>4116</v>
      </c>
      <c r="C16" s="841">
        <v>17007</v>
      </c>
      <c r="D16" s="841"/>
      <c r="E16" s="841"/>
      <c r="F16" s="841"/>
      <c r="G16" s="841"/>
      <c r="H16" s="841"/>
      <c r="I16" s="841"/>
      <c r="J16" s="841"/>
      <c r="K16" s="841"/>
      <c r="L16" s="841"/>
      <c r="M16" s="838" t="s">
        <v>1738</v>
      </c>
      <c r="N16" s="838"/>
      <c r="O16" s="838"/>
      <c r="P16" s="838"/>
      <c r="Q16" s="839"/>
      <c r="R16" s="839"/>
      <c r="S16" s="839"/>
      <c r="T16" s="839"/>
      <c r="U16" s="673">
        <v>186364</v>
      </c>
      <c r="V16" s="840">
        <v>260788.59</v>
      </c>
      <c r="W16" s="840"/>
      <c r="X16" s="840"/>
      <c r="Y16" s="674">
        <f t="shared" si="0"/>
        <v>139.93506793157476</v>
      </c>
      <c r="Z16" s="675"/>
      <c r="AA16" s="676"/>
      <c r="AB16" s="679" t="s">
        <v>1264</v>
      </c>
      <c r="AC16" s="660"/>
    </row>
    <row r="17" spans="1:29" ht="20.399999999999999" customHeight="1">
      <c r="A17" s="663"/>
      <c r="B17" s="672">
        <v>4216</v>
      </c>
      <c r="C17" s="841" t="s">
        <v>1742</v>
      </c>
      <c r="D17" s="841"/>
      <c r="E17" s="841"/>
      <c r="F17" s="841"/>
      <c r="G17" s="841"/>
      <c r="H17" s="841"/>
      <c r="I17" s="841"/>
      <c r="J17" s="841"/>
      <c r="K17" s="841"/>
      <c r="L17" s="841"/>
      <c r="M17" s="838" t="s">
        <v>1743</v>
      </c>
      <c r="N17" s="838"/>
      <c r="O17" s="838"/>
      <c r="P17" s="838"/>
      <c r="Q17" s="839"/>
      <c r="R17" s="839"/>
      <c r="S17" s="839"/>
      <c r="T17" s="839"/>
      <c r="U17" s="673">
        <v>70691.89</v>
      </c>
      <c r="V17" s="840">
        <v>70691.89</v>
      </c>
      <c r="W17" s="840"/>
      <c r="X17" s="840"/>
      <c r="Y17" s="674">
        <v>100</v>
      </c>
      <c r="Z17" s="675"/>
      <c r="AA17" s="676"/>
      <c r="AB17" s="679" t="s">
        <v>1264</v>
      </c>
      <c r="AC17" s="660"/>
    </row>
    <row r="18" spans="1:29" ht="18.600000000000001" customHeight="1">
      <c r="A18" s="663"/>
      <c r="B18" s="672">
        <v>4116</v>
      </c>
      <c r="C18" s="841" t="s">
        <v>3853</v>
      </c>
      <c r="D18" s="841"/>
      <c r="E18" s="841"/>
      <c r="F18" s="841"/>
      <c r="G18" s="841"/>
      <c r="H18" s="841"/>
      <c r="I18" s="841"/>
      <c r="J18" s="841"/>
      <c r="K18" s="841"/>
      <c r="L18" s="841"/>
      <c r="M18" s="838" t="s">
        <v>3854</v>
      </c>
      <c r="N18" s="838"/>
      <c r="O18" s="838"/>
      <c r="P18" s="838"/>
      <c r="Q18" s="839"/>
      <c r="R18" s="839"/>
      <c r="S18" s="839"/>
      <c r="T18" s="839"/>
      <c r="U18" s="673">
        <v>12246190</v>
      </c>
      <c r="V18" s="840">
        <v>12246190</v>
      </c>
      <c r="W18" s="840"/>
      <c r="X18" s="840"/>
      <c r="Y18" s="674">
        <v>100</v>
      </c>
      <c r="Z18" s="675"/>
      <c r="AA18" s="676"/>
      <c r="AB18" s="679" t="s">
        <v>3855</v>
      </c>
      <c r="AC18" s="660"/>
    </row>
    <row r="19" spans="1:29" ht="22.95" customHeight="1">
      <c r="A19" s="663"/>
      <c r="B19" s="672">
        <v>4116</v>
      </c>
      <c r="C19" s="841" t="s">
        <v>3856</v>
      </c>
      <c r="D19" s="841"/>
      <c r="E19" s="841"/>
      <c r="F19" s="841"/>
      <c r="G19" s="841"/>
      <c r="H19" s="841"/>
      <c r="I19" s="841"/>
      <c r="J19" s="841"/>
      <c r="K19" s="841"/>
      <c r="L19" s="841"/>
      <c r="M19" s="838" t="s">
        <v>3857</v>
      </c>
      <c r="N19" s="838"/>
      <c r="O19" s="838"/>
      <c r="P19" s="838"/>
      <c r="Q19" s="839"/>
      <c r="R19" s="839"/>
      <c r="S19" s="839"/>
      <c r="T19" s="839"/>
      <c r="U19" s="673">
        <v>135172000</v>
      </c>
      <c r="V19" s="840">
        <v>135172000</v>
      </c>
      <c r="W19" s="840"/>
      <c r="X19" s="840"/>
      <c r="Y19" s="674">
        <v>100</v>
      </c>
      <c r="Z19" s="675"/>
      <c r="AA19" s="676"/>
      <c r="AB19" s="679" t="s">
        <v>3855</v>
      </c>
      <c r="AC19" s="660"/>
    </row>
    <row r="20" spans="1:29" ht="20.399999999999999" customHeight="1">
      <c r="A20" s="663"/>
      <c r="B20" s="672">
        <v>4216</v>
      </c>
      <c r="C20" s="841" t="s">
        <v>3858</v>
      </c>
      <c r="D20" s="841"/>
      <c r="E20" s="841"/>
      <c r="F20" s="841"/>
      <c r="G20" s="841"/>
      <c r="H20" s="841"/>
      <c r="I20" s="841"/>
      <c r="J20" s="841"/>
      <c r="K20" s="841"/>
      <c r="L20" s="841"/>
      <c r="M20" s="838" t="s">
        <v>3859</v>
      </c>
      <c r="N20" s="838"/>
      <c r="O20" s="838"/>
      <c r="P20" s="838"/>
      <c r="Q20" s="839"/>
      <c r="R20" s="839"/>
      <c r="S20" s="839"/>
      <c r="T20" s="839"/>
      <c r="U20" s="673">
        <v>2393948.8600000003</v>
      </c>
      <c r="V20" s="840">
        <v>2393948.86</v>
      </c>
      <c r="W20" s="840"/>
      <c r="X20" s="840"/>
      <c r="Y20" s="674">
        <v>100</v>
      </c>
      <c r="Z20" s="675"/>
      <c r="AA20" s="676"/>
      <c r="AB20" s="679" t="s">
        <v>3860</v>
      </c>
      <c r="AC20" s="660"/>
    </row>
    <row r="21" spans="1:29" ht="15.6" customHeight="1">
      <c r="A21" s="663"/>
      <c r="B21" s="672">
        <v>4216</v>
      </c>
      <c r="C21" s="680">
        <v>33006</v>
      </c>
      <c r="D21" s="680"/>
      <c r="E21" s="680"/>
      <c r="F21" s="680"/>
      <c r="G21" s="680"/>
      <c r="H21" s="680"/>
      <c r="I21" s="680"/>
      <c r="J21" s="680"/>
      <c r="K21" s="680"/>
      <c r="L21" s="680"/>
      <c r="M21" s="838" t="s">
        <v>1527</v>
      </c>
      <c r="N21" s="838"/>
      <c r="O21" s="838"/>
      <c r="P21" s="838"/>
      <c r="Q21" s="678"/>
      <c r="R21" s="678"/>
      <c r="S21" s="678"/>
      <c r="T21" s="678"/>
      <c r="U21" s="681">
        <v>132441</v>
      </c>
      <c r="V21" s="842">
        <v>2062130</v>
      </c>
      <c r="W21" s="843"/>
      <c r="X21" s="673"/>
      <c r="Y21" s="674">
        <v>1557.01</v>
      </c>
      <c r="Z21" s="675"/>
      <c r="AA21" s="676"/>
      <c r="AB21" s="679" t="s">
        <v>1706</v>
      </c>
      <c r="AC21" s="660"/>
    </row>
    <row r="22" spans="1:29" ht="11.4" customHeight="1">
      <c r="A22" s="663"/>
      <c r="B22" s="672">
        <v>4116</v>
      </c>
      <c r="C22" s="841" t="s">
        <v>1707</v>
      </c>
      <c r="D22" s="841"/>
      <c r="E22" s="841"/>
      <c r="F22" s="841"/>
      <c r="G22" s="841"/>
      <c r="H22" s="841"/>
      <c r="I22" s="841"/>
      <c r="J22" s="841"/>
      <c r="K22" s="841"/>
      <c r="L22" s="841"/>
      <c r="M22" s="838" t="s">
        <v>1527</v>
      </c>
      <c r="N22" s="838"/>
      <c r="O22" s="838"/>
      <c r="P22" s="838"/>
      <c r="Q22" s="839"/>
      <c r="R22" s="839"/>
      <c r="S22" s="839"/>
      <c r="T22" s="839"/>
      <c r="U22" s="673">
        <v>18379399.809999999</v>
      </c>
      <c r="V22" s="840">
        <v>93241816.989999995</v>
      </c>
      <c r="W22" s="840"/>
      <c r="X22" s="840"/>
      <c r="Y22" s="674">
        <f>V22/U22*100</f>
        <v>507.31698506970997</v>
      </c>
      <c r="Z22" s="675"/>
      <c r="AA22" s="676"/>
      <c r="AB22" s="679" t="s">
        <v>1706</v>
      </c>
      <c r="AC22" s="660"/>
    </row>
    <row r="23" spans="1:29">
      <c r="A23" s="663"/>
      <c r="B23" s="672">
        <v>4116</v>
      </c>
      <c r="C23" s="841" t="s">
        <v>3861</v>
      </c>
      <c r="D23" s="841"/>
      <c r="E23" s="841"/>
      <c r="F23" s="841"/>
      <c r="G23" s="841"/>
      <c r="H23" s="841"/>
      <c r="I23" s="841"/>
      <c r="J23" s="841"/>
      <c r="K23" s="841"/>
      <c r="L23" s="841"/>
      <c r="M23" s="838" t="s">
        <v>1522</v>
      </c>
      <c r="N23" s="838"/>
      <c r="O23" s="838"/>
      <c r="P23" s="838"/>
      <c r="Q23" s="839"/>
      <c r="R23" s="839"/>
      <c r="S23" s="839"/>
      <c r="T23" s="839"/>
      <c r="U23" s="673">
        <v>4942288.58</v>
      </c>
      <c r="V23" s="840">
        <v>3890352</v>
      </c>
      <c r="W23" s="840"/>
      <c r="X23" s="840"/>
      <c r="Y23" s="674">
        <f>V23/U23*100</f>
        <v>78.715597784862652</v>
      </c>
      <c r="Z23" s="675"/>
      <c r="AA23" s="676"/>
      <c r="AB23" s="679" t="s">
        <v>1706</v>
      </c>
      <c r="AC23" s="660"/>
    </row>
    <row r="24" spans="1:29" ht="30" customHeight="1">
      <c r="A24" s="663"/>
      <c r="B24" s="672">
        <v>4116</v>
      </c>
      <c r="C24" s="841" t="s">
        <v>1747</v>
      </c>
      <c r="D24" s="841"/>
      <c r="E24" s="841"/>
      <c r="F24" s="841"/>
      <c r="G24" s="841"/>
      <c r="H24" s="841"/>
      <c r="I24" s="841"/>
      <c r="J24" s="841"/>
      <c r="K24" s="841"/>
      <c r="L24" s="841"/>
      <c r="M24" s="838" t="s">
        <v>1748</v>
      </c>
      <c r="N24" s="838"/>
      <c r="O24" s="838"/>
      <c r="P24" s="838"/>
      <c r="Q24" s="839"/>
      <c r="R24" s="839"/>
      <c r="S24" s="839"/>
      <c r="T24" s="839"/>
      <c r="U24" s="673">
        <v>432000</v>
      </c>
      <c r="V24" s="840">
        <v>432000</v>
      </c>
      <c r="W24" s="840"/>
      <c r="X24" s="840"/>
      <c r="Y24" s="674">
        <v>100</v>
      </c>
      <c r="Z24" s="675"/>
      <c r="AA24" s="676"/>
      <c r="AB24" s="679" t="s">
        <v>1706</v>
      </c>
      <c r="AC24" s="660"/>
    </row>
    <row r="25" spans="1:29" ht="20.399999999999999" customHeight="1">
      <c r="A25" s="663"/>
      <c r="B25" s="672">
        <v>4116</v>
      </c>
      <c r="C25" s="841" t="s">
        <v>3862</v>
      </c>
      <c r="D25" s="841"/>
      <c r="E25" s="841"/>
      <c r="F25" s="841"/>
      <c r="G25" s="841"/>
      <c r="H25" s="841"/>
      <c r="I25" s="841"/>
      <c r="J25" s="841"/>
      <c r="K25" s="841"/>
      <c r="L25" s="841"/>
      <c r="M25" s="838" t="s">
        <v>1538</v>
      </c>
      <c r="N25" s="838"/>
      <c r="O25" s="838"/>
      <c r="P25" s="838"/>
      <c r="Q25" s="839"/>
      <c r="R25" s="839"/>
      <c r="S25" s="839"/>
      <c r="T25" s="839"/>
      <c r="U25" s="673">
        <v>0</v>
      </c>
      <c r="V25" s="840">
        <v>11346887.48</v>
      </c>
      <c r="W25" s="840"/>
      <c r="X25" s="840"/>
      <c r="Y25" s="674">
        <v>0</v>
      </c>
      <c r="Z25" s="675"/>
      <c r="AA25" s="676"/>
      <c r="AB25" s="679" t="s">
        <v>1706</v>
      </c>
      <c r="AC25" s="660"/>
    </row>
    <row r="26" spans="1:29">
      <c r="A26" s="663"/>
      <c r="B26" s="672">
        <v>4116</v>
      </c>
      <c r="C26" s="841" t="s">
        <v>1711</v>
      </c>
      <c r="D26" s="841"/>
      <c r="E26" s="841"/>
      <c r="F26" s="841"/>
      <c r="G26" s="841"/>
      <c r="H26" s="841"/>
      <c r="I26" s="841"/>
      <c r="J26" s="841"/>
      <c r="K26" s="841"/>
      <c r="L26" s="841"/>
      <c r="M26" s="838" t="s">
        <v>1712</v>
      </c>
      <c r="N26" s="838"/>
      <c r="O26" s="838"/>
      <c r="P26" s="838"/>
      <c r="Q26" s="839"/>
      <c r="R26" s="839"/>
      <c r="S26" s="839"/>
      <c r="T26" s="839"/>
      <c r="U26" s="673">
        <v>52515000</v>
      </c>
      <c r="V26" s="840">
        <v>52515000</v>
      </c>
      <c r="W26" s="840"/>
      <c r="X26" s="840"/>
      <c r="Y26" s="674">
        <v>100</v>
      </c>
      <c r="Z26" s="675"/>
      <c r="AA26" s="676"/>
      <c r="AB26" s="679" t="s">
        <v>1706</v>
      </c>
      <c r="AC26" s="660"/>
    </row>
    <row r="27" spans="1:29" ht="13.2" customHeight="1">
      <c r="A27" s="663"/>
      <c r="B27" s="672">
        <v>4116</v>
      </c>
      <c r="C27" s="841" t="s">
        <v>1713</v>
      </c>
      <c r="D27" s="841"/>
      <c r="E27" s="841"/>
      <c r="F27" s="841"/>
      <c r="G27" s="841"/>
      <c r="H27" s="841"/>
      <c r="I27" s="841"/>
      <c r="J27" s="841"/>
      <c r="K27" s="841"/>
      <c r="L27" s="841"/>
      <c r="M27" s="838" t="s">
        <v>1714</v>
      </c>
      <c r="N27" s="838"/>
      <c r="O27" s="838"/>
      <c r="P27" s="838"/>
      <c r="Q27" s="839"/>
      <c r="R27" s="839"/>
      <c r="S27" s="839"/>
      <c r="T27" s="839"/>
      <c r="U27" s="673">
        <v>4318000</v>
      </c>
      <c r="V27" s="840">
        <v>4313200</v>
      </c>
      <c r="W27" s="840"/>
      <c r="X27" s="840"/>
      <c r="Y27" s="674">
        <f>V27/U27*100</f>
        <v>99.888837424733666</v>
      </c>
      <c r="Z27" s="675"/>
      <c r="AA27" s="676"/>
      <c r="AB27" s="679" t="s">
        <v>1706</v>
      </c>
      <c r="AC27" s="660"/>
    </row>
    <row r="28" spans="1:29" ht="30.6" customHeight="1">
      <c r="A28" s="663"/>
      <c r="B28" s="672">
        <v>4116</v>
      </c>
      <c r="C28" s="841" t="s">
        <v>2598</v>
      </c>
      <c r="D28" s="841"/>
      <c r="E28" s="841"/>
      <c r="F28" s="841"/>
      <c r="G28" s="841"/>
      <c r="H28" s="841"/>
      <c r="I28" s="841"/>
      <c r="J28" s="841"/>
      <c r="K28" s="841"/>
      <c r="L28" s="841"/>
      <c r="M28" s="838" t="s">
        <v>2599</v>
      </c>
      <c r="N28" s="838"/>
      <c r="O28" s="838"/>
      <c r="P28" s="838"/>
      <c r="Q28" s="839"/>
      <c r="R28" s="839"/>
      <c r="S28" s="839"/>
      <c r="T28" s="839"/>
      <c r="U28" s="673">
        <v>486000</v>
      </c>
      <c r="V28" s="840">
        <v>486000</v>
      </c>
      <c r="W28" s="840"/>
      <c r="X28" s="840"/>
      <c r="Y28" s="674">
        <v>100</v>
      </c>
      <c r="Z28" s="675"/>
      <c r="AA28" s="676"/>
      <c r="AB28" s="679" t="s">
        <v>1706</v>
      </c>
      <c r="AC28" s="660"/>
    </row>
    <row r="29" spans="1:29" ht="13.2" customHeight="1">
      <c r="A29" s="663"/>
      <c r="B29" s="672">
        <v>4116</v>
      </c>
      <c r="C29" s="841" t="s">
        <v>1728</v>
      </c>
      <c r="D29" s="841"/>
      <c r="E29" s="841"/>
      <c r="F29" s="841"/>
      <c r="G29" s="841"/>
      <c r="H29" s="841"/>
      <c r="I29" s="841"/>
      <c r="J29" s="841"/>
      <c r="K29" s="841"/>
      <c r="L29" s="841"/>
      <c r="M29" s="838" t="s">
        <v>1729</v>
      </c>
      <c r="N29" s="838"/>
      <c r="O29" s="838"/>
      <c r="P29" s="838"/>
      <c r="Q29" s="839"/>
      <c r="R29" s="839"/>
      <c r="S29" s="839"/>
      <c r="T29" s="839"/>
      <c r="U29" s="673">
        <v>6486894</v>
      </c>
      <c r="V29" s="840">
        <v>6486894</v>
      </c>
      <c r="W29" s="840"/>
      <c r="X29" s="840"/>
      <c r="Y29" s="674">
        <v>100</v>
      </c>
      <c r="Z29" s="675"/>
      <c r="AA29" s="676"/>
      <c r="AB29" s="679" t="s">
        <v>1706</v>
      </c>
      <c r="AC29" s="660"/>
    </row>
    <row r="30" spans="1:29" ht="13.95" customHeight="1">
      <c r="A30" s="663"/>
      <c r="B30" s="672">
        <v>4116</v>
      </c>
      <c r="C30" s="841" t="s">
        <v>2596</v>
      </c>
      <c r="D30" s="841"/>
      <c r="E30" s="841"/>
      <c r="F30" s="841"/>
      <c r="G30" s="841"/>
      <c r="H30" s="841"/>
      <c r="I30" s="841"/>
      <c r="J30" s="841"/>
      <c r="K30" s="841"/>
      <c r="L30" s="841"/>
      <c r="M30" s="838" t="s">
        <v>2597</v>
      </c>
      <c r="N30" s="838"/>
      <c r="O30" s="838"/>
      <c r="P30" s="838"/>
      <c r="Q30" s="839"/>
      <c r="R30" s="839"/>
      <c r="S30" s="839"/>
      <c r="T30" s="839"/>
      <c r="U30" s="673">
        <v>109848</v>
      </c>
      <c r="V30" s="840">
        <v>109848</v>
      </c>
      <c r="W30" s="840"/>
      <c r="X30" s="840"/>
      <c r="Y30" s="674">
        <v>100</v>
      </c>
      <c r="Z30" s="675"/>
      <c r="AA30" s="676"/>
      <c r="AB30" s="679" t="s">
        <v>1706</v>
      </c>
      <c r="AC30" s="660"/>
    </row>
    <row r="31" spans="1:29" ht="22.2" customHeight="1">
      <c r="A31" s="663"/>
      <c r="B31" s="672">
        <v>4116</v>
      </c>
      <c r="C31" s="841" t="s">
        <v>1715</v>
      </c>
      <c r="D31" s="841"/>
      <c r="E31" s="841"/>
      <c r="F31" s="841"/>
      <c r="G31" s="841"/>
      <c r="H31" s="841"/>
      <c r="I31" s="841"/>
      <c r="J31" s="841"/>
      <c r="K31" s="841"/>
      <c r="L31" s="841"/>
      <c r="M31" s="838" t="s">
        <v>1716</v>
      </c>
      <c r="N31" s="838"/>
      <c r="O31" s="838"/>
      <c r="P31" s="838"/>
      <c r="Q31" s="839"/>
      <c r="R31" s="839"/>
      <c r="S31" s="839"/>
      <c r="T31" s="839"/>
      <c r="U31" s="673">
        <v>653000</v>
      </c>
      <c r="V31" s="840">
        <v>652261.5</v>
      </c>
      <c r="W31" s="840"/>
      <c r="X31" s="840"/>
      <c r="Y31" s="674">
        <f>V31/U31*100</f>
        <v>99.886906584992346</v>
      </c>
      <c r="Z31" s="675"/>
      <c r="AA31" s="676"/>
      <c r="AB31" s="679" t="s">
        <v>1706</v>
      </c>
      <c r="AC31" s="660"/>
    </row>
    <row r="32" spans="1:29" ht="13.2" customHeight="1">
      <c r="A32" s="663"/>
      <c r="B32" s="672">
        <v>4116</v>
      </c>
      <c r="C32" s="841" t="s">
        <v>1704</v>
      </c>
      <c r="D32" s="841"/>
      <c r="E32" s="841"/>
      <c r="F32" s="841"/>
      <c r="G32" s="841"/>
      <c r="H32" s="841"/>
      <c r="I32" s="841"/>
      <c r="J32" s="841"/>
      <c r="K32" s="841"/>
      <c r="L32" s="841"/>
      <c r="M32" s="838" t="s">
        <v>1705</v>
      </c>
      <c r="N32" s="838"/>
      <c r="O32" s="838"/>
      <c r="P32" s="838"/>
      <c r="Q32" s="839"/>
      <c r="R32" s="839"/>
      <c r="S32" s="839"/>
      <c r="T32" s="839"/>
      <c r="U32" s="673">
        <v>860268</v>
      </c>
      <c r="V32" s="840">
        <v>853872</v>
      </c>
      <c r="W32" s="840"/>
      <c r="X32" s="840"/>
      <c r="Y32" s="674">
        <f>V32/U32*100</f>
        <v>99.256510761762613</v>
      </c>
      <c r="Z32" s="675"/>
      <c r="AA32" s="676"/>
      <c r="AB32" s="679" t="s">
        <v>1706</v>
      </c>
      <c r="AC32" s="660"/>
    </row>
    <row r="33" spans="1:29">
      <c r="A33" s="663"/>
      <c r="B33" s="672">
        <v>4116</v>
      </c>
      <c r="C33" s="841" t="s">
        <v>1751</v>
      </c>
      <c r="D33" s="841"/>
      <c r="E33" s="841"/>
      <c r="F33" s="841"/>
      <c r="G33" s="841"/>
      <c r="H33" s="841"/>
      <c r="I33" s="841"/>
      <c r="J33" s="841"/>
      <c r="K33" s="841"/>
      <c r="L33" s="841"/>
      <c r="M33" s="838" t="s">
        <v>1752</v>
      </c>
      <c r="N33" s="838"/>
      <c r="O33" s="838"/>
      <c r="P33" s="838"/>
      <c r="Q33" s="839"/>
      <c r="R33" s="839"/>
      <c r="S33" s="839"/>
      <c r="T33" s="839"/>
      <c r="U33" s="673">
        <v>290268.59999999998</v>
      </c>
      <c r="V33" s="840">
        <v>290268.59999999998</v>
      </c>
      <c r="W33" s="840"/>
      <c r="X33" s="840"/>
      <c r="Y33" s="674">
        <v>100</v>
      </c>
      <c r="Z33" s="675"/>
      <c r="AA33" s="676"/>
      <c r="AB33" s="679" t="s">
        <v>1706</v>
      </c>
      <c r="AC33" s="660"/>
    </row>
    <row r="34" spans="1:29">
      <c r="A34" s="663"/>
      <c r="B34" s="672">
        <v>4116</v>
      </c>
      <c r="C34" s="841" t="s">
        <v>3863</v>
      </c>
      <c r="D34" s="841"/>
      <c r="E34" s="841"/>
      <c r="F34" s="841"/>
      <c r="G34" s="841"/>
      <c r="H34" s="841"/>
      <c r="I34" s="841"/>
      <c r="J34" s="841"/>
      <c r="K34" s="841"/>
      <c r="L34" s="841"/>
      <c r="M34" s="838" t="s">
        <v>3039</v>
      </c>
      <c r="N34" s="838"/>
      <c r="O34" s="838"/>
      <c r="P34" s="838"/>
      <c r="Q34" s="839"/>
      <c r="R34" s="839"/>
      <c r="S34" s="839"/>
      <c r="T34" s="839"/>
      <c r="U34" s="673">
        <v>93710000</v>
      </c>
      <c r="V34" s="840">
        <v>93565205</v>
      </c>
      <c r="W34" s="840"/>
      <c r="X34" s="840"/>
      <c r="Y34" s="674">
        <f>V34/U34*100</f>
        <v>99.845486074058272</v>
      </c>
      <c r="Z34" s="675"/>
      <c r="AA34" s="676"/>
      <c r="AB34" s="679" t="s">
        <v>1706</v>
      </c>
      <c r="AC34" s="660"/>
    </row>
    <row r="35" spans="1:29">
      <c r="A35" s="663"/>
      <c r="B35" s="672">
        <v>4116</v>
      </c>
      <c r="C35" s="841" t="s">
        <v>1708</v>
      </c>
      <c r="D35" s="841"/>
      <c r="E35" s="841"/>
      <c r="F35" s="841"/>
      <c r="G35" s="841"/>
      <c r="H35" s="841"/>
      <c r="I35" s="841"/>
      <c r="J35" s="841"/>
      <c r="K35" s="841"/>
      <c r="L35" s="841"/>
      <c r="M35" s="838" t="s">
        <v>1709</v>
      </c>
      <c r="N35" s="838"/>
      <c r="O35" s="838"/>
      <c r="P35" s="838"/>
      <c r="Q35" s="839"/>
      <c r="R35" s="839"/>
      <c r="S35" s="839"/>
      <c r="T35" s="839"/>
      <c r="U35" s="673">
        <v>48945</v>
      </c>
      <c r="V35" s="840">
        <v>48945</v>
      </c>
      <c r="W35" s="840"/>
      <c r="X35" s="840"/>
      <c r="Y35" s="674">
        <v>100</v>
      </c>
      <c r="Z35" s="675"/>
      <c r="AA35" s="676"/>
      <c r="AB35" s="679" t="s">
        <v>1706</v>
      </c>
      <c r="AC35" s="660"/>
    </row>
    <row r="36" spans="1:29">
      <c r="A36" s="663"/>
      <c r="B36" s="672">
        <v>4116</v>
      </c>
      <c r="C36" s="841" t="s">
        <v>1739</v>
      </c>
      <c r="D36" s="841"/>
      <c r="E36" s="841"/>
      <c r="F36" s="841"/>
      <c r="G36" s="841"/>
      <c r="H36" s="841"/>
      <c r="I36" s="841"/>
      <c r="J36" s="841"/>
      <c r="K36" s="841"/>
      <c r="L36" s="841"/>
      <c r="M36" s="838" t="s">
        <v>1740</v>
      </c>
      <c r="N36" s="838"/>
      <c r="O36" s="838"/>
      <c r="P36" s="838"/>
      <c r="Q36" s="839"/>
      <c r="R36" s="839"/>
      <c r="S36" s="839"/>
      <c r="T36" s="839"/>
      <c r="U36" s="673">
        <v>137800</v>
      </c>
      <c r="V36" s="840">
        <v>137800</v>
      </c>
      <c r="W36" s="840"/>
      <c r="X36" s="840"/>
      <c r="Y36" s="674">
        <v>100</v>
      </c>
      <c r="Z36" s="675"/>
      <c r="AA36" s="676"/>
      <c r="AB36" s="679" t="s">
        <v>1706</v>
      </c>
      <c r="AC36" s="660"/>
    </row>
    <row r="37" spans="1:29" ht="11.4" customHeight="1">
      <c r="A37" s="663"/>
      <c r="B37" s="672">
        <v>4116</v>
      </c>
      <c r="C37" s="841" t="s">
        <v>1731</v>
      </c>
      <c r="D37" s="841"/>
      <c r="E37" s="841"/>
      <c r="F37" s="841"/>
      <c r="G37" s="841"/>
      <c r="H37" s="841"/>
      <c r="I37" s="841"/>
      <c r="J37" s="841"/>
      <c r="K37" s="841"/>
      <c r="L37" s="841"/>
      <c r="M37" s="838" t="s">
        <v>1732</v>
      </c>
      <c r="N37" s="838"/>
      <c r="O37" s="838"/>
      <c r="P37" s="838"/>
      <c r="Q37" s="839"/>
      <c r="R37" s="839"/>
      <c r="S37" s="839"/>
      <c r="T37" s="839"/>
      <c r="U37" s="673">
        <v>2088000</v>
      </c>
      <c r="V37" s="840">
        <v>2088000</v>
      </c>
      <c r="W37" s="840"/>
      <c r="X37" s="840"/>
      <c r="Y37" s="674">
        <v>100</v>
      </c>
      <c r="Z37" s="675"/>
      <c r="AA37" s="676"/>
      <c r="AB37" s="679" t="s">
        <v>1706</v>
      </c>
      <c r="AC37" s="660"/>
    </row>
    <row r="38" spans="1:29" ht="19.95" customHeight="1">
      <c r="A38" s="663"/>
      <c r="B38" s="672">
        <v>4116</v>
      </c>
      <c r="C38" s="841" t="s">
        <v>1726</v>
      </c>
      <c r="D38" s="841"/>
      <c r="E38" s="841"/>
      <c r="F38" s="841"/>
      <c r="G38" s="841"/>
      <c r="H38" s="841"/>
      <c r="I38" s="841"/>
      <c r="J38" s="841"/>
      <c r="K38" s="841"/>
      <c r="L38" s="841"/>
      <c r="M38" s="838" t="s">
        <v>1727</v>
      </c>
      <c r="N38" s="838"/>
      <c r="O38" s="838"/>
      <c r="P38" s="838"/>
      <c r="Q38" s="839"/>
      <c r="R38" s="839"/>
      <c r="S38" s="839"/>
      <c r="T38" s="839"/>
      <c r="U38" s="673">
        <v>57239</v>
      </c>
      <c r="V38" s="840">
        <v>57239</v>
      </c>
      <c r="W38" s="840"/>
      <c r="X38" s="840"/>
      <c r="Y38" s="674">
        <v>100</v>
      </c>
      <c r="Z38" s="675"/>
      <c r="AA38" s="676"/>
      <c r="AB38" s="679" t="s">
        <v>1706</v>
      </c>
      <c r="AC38" s="660"/>
    </row>
    <row r="39" spans="1:29" ht="18.600000000000001" customHeight="1">
      <c r="A39" s="663"/>
      <c r="B39" s="672">
        <v>4116</v>
      </c>
      <c r="C39" s="841" t="s">
        <v>3864</v>
      </c>
      <c r="D39" s="841"/>
      <c r="E39" s="841"/>
      <c r="F39" s="841"/>
      <c r="G39" s="841"/>
      <c r="H39" s="841"/>
      <c r="I39" s="841"/>
      <c r="J39" s="841"/>
      <c r="K39" s="841"/>
      <c r="L39" s="841"/>
      <c r="M39" s="838" t="s">
        <v>3041</v>
      </c>
      <c r="N39" s="838"/>
      <c r="O39" s="838"/>
      <c r="P39" s="838"/>
      <c r="Q39" s="839"/>
      <c r="R39" s="839"/>
      <c r="S39" s="839"/>
      <c r="T39" s="839"/>
      <c r="U39" s="673">
        <v>735300</v>
      </c>
      <c r="V39" s="840">
        <v>735300</v>
      </c>
      <c r="W39" s="840"/>
      <c r="X39" s="840"/>
      <c r="Y39" s="674">
        <v>100</v>
      </c>
      <c r="Z39" s="675"/>
      <c r="AA39" s="676"/>
      <c r="AB39" s="679" t="s">
        <v>1706</v>
      </c>
      <c r="AC39" s="660"/>
    </row>
    <row r="40" spans="1:29">
      <c r="A40" s="663"/>
      <c r="B40" s="672">
        <v>4116</v>
      </c>
      <c r="C40" s="841" t="s">
        <v>1735</v>
      </c>
      <c r="D40" s="841"/>
      <c r="E40" s="841"/>
      <c r="F40" s="841"/>
      <c r="G40" s="841"/>
      <c r="H40" s="841"/>
      <c r="I40" s="841"/>
      <c r="J40" s="841"/>
      <c r="K40" s="841"/>
      <c r="L40" s="841"/>
      <c r="M40" s="838" t="s">
        <v>1736</v>
      </c>
      <c r="N40" s="838"/>
      <c r="O40" s="838"/>
      <c r="P40" s="838"/>
      <c r="Q40" s="839"/>
      <c r="R40" s="839"/>
      <c r="S40" s="839"/>
      <c r="T40" s="839"/>
      <c r="U40" s="673">
        <v>326484.44</v>
      </c>
      <c r="V40" s="840">
        <v>326484.44</v>
      </c>
      <c r="W40" s="840"/>
      <c r="X40" s="840"/>
      <c r="Y40" s="674">
        <v>100</v>
      </c>
      <c r="Z40" s="675"/>
      <c r="AA40" s="676"/>
      <c r="AB40" s="679" t="s">
        <v>1706</v>
      </c>
      <c r="AC40" s="660"/>
    </row>
    <row r="41" spans="1:29">
      <c r="A41" s="663"/>
      <c r="B41" s="672">
        <v>4116</v>
      </c>
      <c r="C41" s="841" t="s">
        <v>1733</v>
      </c>
      <c r="D41" s="841"/>
      <c r="E41" s="841"/>
      <c r="F41" s="841"/>
      <c r="G41" s="841"/>
      <c r="H41" s="841"/>
      <c r="I41" s="841"/>
      <c r="J41" s="841"/>
      <c r="K41" s="841"/>
      <c r="L41" s="841"/>
      <c r="M41" s="838" t="s">
        <v>1734</v>
      </c>
      <c r="N41" s="838"/>
      <c r="O41" s="838"/>
      <c r="P41" s="838"/>
      <c r="Q41" s="839"/>
      <c r="R41" s="839"/>
      <c r="S41" s="839"/>
      <c r="T41" s="839"/>
      <c r="U41" s="673">
        <v>44000</v>
      </c>
      <c r="V41" s="840">
        <v>44000</v>
      </c>
      <c r="W41" s="840"/>
      <c r="X41" s="840"/>
      <c r="Y41" s="674">
        <v>100</v>
      </c>
      <c r="Z41" s="675"/>
      <c r="AA41" s="676"/>
      <c r="AB41" s="679" t="s">
        <v>1706</v>
      </c>
      <c r="AC41" s="660"/>
    </row>
    <row r="42" spans="1:29">
      <c r="A42" s="663"/>
      <c r="B42" s="672">
        <v>4116</v>
      </c>
      <c r="C42" s="841" t="s">
        <v>3865</v>
      </c>
      <c r="D42" s="841"/>
      <c r="E42" s="841"/>
      <c r="F42" s="841"/>
      <c r="G42" s="841"/>
      <c r="H42" s="841"/>
      <c r="I42" s="841"/>
      <c r="J42" s="841"/>
      <c r="K42" s="841"/>
      <c r="L42" s="841"/>
      <c r="M42" s="838" t="s">
        <v>1581</v>
      </c>
      <c r="N42" s="838"/>
      <c r="O42" s="838"/>
      <c r="P42" s="838"/>
      <c r="Q42" s="839"/>
      <c r="R42" s="839"/>
      <c r="S42" s="839"/>
      <c r="T42" s="839"/>
      <c r="U42" s="673">
        <v>3944585000</v>
      </c>
      <c r="V42" s="840">
        <v>3944585000</v>
      </c>
      <c r="W42" s="840"/>
      <c r="X42" s="840"/>
      <c r="Y42" s="674">
        <v>100</v>
      </c>
      <c r="Z42" s="675"/>
      <c r="AA42" s="676"/>
      <c r="AB42" s="679" t="s">
        <v>1706</v>
      </c>
      <c r="AC42" s="660"/>
    </row>
    <row r="43" spans="1:29" ht="13.95" customHeight="1">
      <c r="A43" s="663"/>
      <c r="B43" s="672">
        <v>4116</v>
      </c>
      <c r="C43" s="841" t="s">
        <v>3866</v>
      </c>
      <c r="D43" s="841"/>
      <c r="E43" s="841"/>
      <c r="F43" s="841"/>
      <c r="G43" s="841"/>
      <c r="H43" s="841"/>
      <c r="I43" s="841"/>
      <c r="J43" s="841"/>
      <c r="K43" s="841"/>
      <c r="L43" s="841"/>
      <c r="M43" s="838" t="s">
        <v>1635</v>
      </c>
      <c r="N43" s="838"/>
      <c r="O43" s="838"/>
      <c r="P43" s="838"/>
      <c r="Q43" s="839"/>
      <c r="R43" s="839"/>
      <c r="S43" s="839"/>
      <c r="T43" s="839"/>
      <c r="U43" s="673">
        <v>4536800</v>
      </c>
      <c r="V43" s="840">
        <v>4536800</v>
      </c>
      <c r="W43" s="840"/>
      <c r="X43" s="840"/>
      <c r="Y43" s="674">
        <v>100</v>
      </c>
      <c r="Z43" s="675"/>
      <c r="AA43" s="676"/>
      <c r="AB43" s="679" t="s">
        <v>1706</v>
      </c>
      <c r="AC43" s="660"/>
    </row>
    <row r="44" spans="1:29" ht="31.2" customHeight="1">
      <c r="A44" s="663"/>
      <c r="B44" s="672">
        <v>4116</v>
      </c>
      <c r="C44" s="841" t="s">
        <v>3867</v>
      </c>
      <c r="D44" s="841"/>
      <c r="E44" s="841"/>
      <c r="F44" s="841"/>
      <c r="G44" s="841"/>
      <c r="H44" s="841"/>
      <c r="I44" s="841"/>
      <c r="J44" s="841"/>
      <c r="K44" s="841"/>
      <c r="L44" s="841"/>
      <c r="M44" s="838" t="s">
        <v>3868</v>
      </c>
      <c r="N44" s="838"/>
      <c r="O44" s="838"/>
      <c r="P44" s="838"/>
      <c r="Q44" s="839"/>
      <c r="R44" s="839"/>
      <c r="S44" s="839"/>
      <c r="T44" s="839"/>
      <c r="U44" s="673">
        <v>61750</v>
      </c>
      <c r="V44" s="840">
        <v>61750</v>
      </c>
      <c r="W44" s="840"/>
      <c r="X44" s="840"/>
      <c r="Y44" s="674">
        <v>100</v>
      </c>
      <c r="Z44" s="675"/>
      <c r="AA44" s="676"/>
      <c r="AB44" s="679" t="s">
        <v>1706</v>
      </c>
      <c r="AC44" s="660"/>
    </row>
    <row r="45" spans="1:29" ht="20.399999999999999" customHeight="1">
      <c r="A45" s="663"/>
      <c r="B45" s="672">
        <v>4116</v>
      </c>
      <c r="C45" s="841" t="s">
        <v>1717</v>
      </c>
      <c r="D45" s="841"/>
      <c r="E45" s="841"/>
      <c r="F45" s="841"/>
      <c r="G45" s="841"/>
      <c r="H45" s="841"/>
      <c r="I45" s="841"/>
      <c r="J45" s="841"/>
      <c r="K45" s="841"/>
      <c r="L45" s="841"/>
      <c r="M45" s="838" t="s">
        <v>1718</v>
      </c>
      <c r="N45" s="838"/>
      <c r="O45" s="838"/>
      <c r="P45" s="838"/>
      <c r="Q45" s="839"/>
      <c r="R45" s="839"/>
      <c r="S45" s="839"/>
      <c r="T45" s="839"/>
      <c r="U45" s="673">
        <v>2081385</v>
      </c>
      <c r="V45" s="840">
        <v>2081385</v>
      </c>
      <c r="W45" s="840"/>
      <c r="X45" s="840"/>
      <c r="Y45" s="674">
        <v>100</v>
      </c>
      <c r="Z45" s="675"/>
      <c r="AA45" s="676"/>
      <c r="AB45" s="679" t="s">
        <v>1706</v>
      </c>
      <c r="AC45" s="660"/>
    </row>
    <row r="46" spans="1:29">
      <c r="A46" s="663"/>
      <c r="B46" s="672">
        <v>4116</v>
      </c>
      <c r="C46" s="841" t="s">
        <v>1760</v>
      </c>
      <c r="D46" s="841"/>
      <c r="E46" s="841"/>
      <c r="F46" s="841"/>
      <c r="G46" s="841"/>
      <c r="H46" s="841"/>
      <c r="I46" s="841"/>
      <c r="J46" s="841"/>
      <c r="K46" s="841"/>
      <c r="L46" s="841"/>
      <c r="M46" s="838" t="s">
        <v>1761</v>
      </c>
      <c r="N46" s="838"/>
      <c r="O46" s="838"/>
      <c r="P46" s="838"/>
      <c r="Q46" s="839"/>
      <c r="R46" s="839"/>
      <c r="S46" s="839"/>
      <c r="T46" s="839"/>
      <c r="U46" s="681">
        <v>612000</v>
      </c>
      <c r="V46" s="840">
        <v>612000</v>
      </c>
      <c r="W46" s="840"/>
      <c r="X46" s="840"/>
      <c r="Y46" s="674">
        <v>100</v>
      </c>
      <c r="Z46" s="675"/>
      <c r="AA46" s="676"/>
      <c r="AB46" s="679" t="s">
        <v>1274</v>
      </c>
      <c r="AC46" s="660"/>
    </row>
    <row r="47" spans="1:29">
      <c r="A47" s="663"/>
      <c r="B47" s="672">
        <v>4116</v>
      </c>
      <c r="C47" s="841" t="s">
        <v>1757</v>
      </c>
      <c r="D47" s="841"/>
      <c r="E47" s="841"/>
      <c r="F47" s="841"/>
      <c r="G47" s="841"/>
      <c r="H47" s="841"/>
      <c r="I47" s="841"/>
      <c r="J47" s="841"/>
      <c r="K47" s="841"/>
      <c r="L47" s="841"/>
      <c r="M47" s="838" t="s">
        <v>1758</v>
      </c>
      <c r="N47" s="838"/>
      <c r="O47" s="838"/>
      <c r="P47" s="838"/>
      <c r="Q47" s="839"/>
      <c r="R47" s="839"/>
      <c r="S47" s="839"/>
      <c r="T47" s="839"/>
      <c r="U47" s="673">
        <v>510000</v>
      </c>
      <c r="V47" s="840">
        <v>510000</v>
      </c>
      <c r="W47" s="840"/>
      <c r="X47" s="840"/>
      <c r="Y47" s="674">
        <v>100</v>
      </c>
      <c r="Z47" s="675"/>
      <c r="AA47" s="676"/>
      <c r="AB47" s="679" t="s">
        <v>1274</v>
      </c>
      <c r="AC47" s="660"/>
    </row>
    <row r="48" spans="1:29" ht="12.6" customHeight="1">
      <c r="A48" s="663"/>
      <c r="B48" s="672">
        <v>4116</v>
      </c>
      <c r="C48" s="841" t="s">
        <v>1763</v>
      </c>
      <c r="D48" s="841"/>
      <c r="E48" s="841"/>
      <c r="F48" s="841"/>
      <c r="G48" s="841"/>
      <c r="H48" s="841"/>
      <c r="I48" s="841"/>
      <c r="J48" s="841"/>
      <c r="K48" s="841"/>
      <c r="L48" s="841"/>
      <c r="M48" s="838" t="s">
        <v>1764</v>
      </c>
      <c r="N48" s="838"/>
      <c r="O48" s="838"/>
      <c r="P48" s="838"/>
      <c r="Q48" s="839"/>
      <c r="R48" s="839"/>
      <c r="S48" s="839"/>
      <c r="T48" s="839"/>
      <c r="U48" s="673">
        <v>42000</v>
      </c>
      <c r="V48" s="840">
        <v>42000</v>
      </c>
      <c r="W48" s="840"/>
      <c r="X48" s="840"/>
      <c r="Y48" s="674">
        <v>100</v>
      </c>
      <c r="Z48" s="675"/>
      <c r="AA48" s="676"/>
      <c r="AB48" s="679" t="s">
        <v>1274</v>
      </c>
      <c r="AC48" s="660"/>
    </row>
    <row r="49" spans="1:33">
      <c r="A49" s="663"/>
      <c r="B49" s="672">
        <v>4216</v>
      </c>
      <c r="C49" s="841" t="s">
        <v>1770</v>
      </c>
      <c r="D49" s="841"/>
      <c r="E49" s="841"/>
      <c r="F49" s="841"/>
      <c r="G49" s="841"/>
      <c r="H49" s="841"/>
      <c r="I49" s="841"/>
      <c r="J49" s="841"/>
      <c r="K49" s="841"/>
      <c r="L49" s="841"/>
      <c r="M49" s="838" t="s">
        <v>1771</v>
      </c>
      <c r="N49" s="838"/>
      <c r="O49" s="838"/>
      <c r="P49" s="838"/>
      <c r="Q49" s="839"/>
      <c r="R49" s="839"/>
      <c r="S49" s="839"/>
      <c r="T49" s="839"/>
      <c r="U49" s="673">
        <v>161000</v>
      </c>
      <c r="V49" s="840">
        <v>161000</v>
      </c>
      <c r="W49" s="840"/>
      <c r="X49" s="840"/>
      <c r="Y49" s="674">
        <v>100</v>
      </c>
      <c r="Z49" s="675"/>
      <c r="AA49" s="676"/>
      <c r="AB49" s="679" t="s">
        <v>1274</v>
      </c>
      <c r="AC49" s="660"/>
    </row>
    <row r="50" spans="1:33" ht="21" customHeight="1">
      <c r="A50" s="663"/>
      <c r="B50" s="672">
        <v>4116</v>
      </c>
      <c r="C50" s="841" t="s">
        <v>3869</v>
      </c>
      <c r="D50" s="841"/>
      <c r="E50" s="841"/>
      <c r="F50" s="841"/>
      <c r="G50" s="841"/>
      <c r="H50" s="841"/>
      <c r="I50" s="841"/>
      <c r="J50" s="841"/>
      <c r="K50" s="841"/>
      <c r="L50" s="841"/>
      <c r="M50" s="838" t="s">
        <v>3870</v>
      </c>
      <c r="N50" s="838"/>
      <c r="O50" s="838"/>
      <c r="P50" s="838"/>
      <c r="Q50" s="839"/>
      <c r="R50" s="839"/>
      <c r="S50" s="839"/>
      <c r="T50" s="839"/>
      <c r="U50" s="673">
        <v>98541</v>
      </c>
      <c r="V50" s="840">
        <v>0</v>
      </c>
      <c r="W50" s="840"/>
      <c r="X50" s="840"/>
      <c r="Y50" s="674">
        <v>0</v>
      </c>
      <c r="Z50" s="675"/>
      <c r="AA50" s="676"/>
      <c r="AB50" s="679" t="s">
        <v>3871</v>
      </c>
      <c r="AC50" s="660"/>
    </row>
    <row r="51" spans="1:33">
      <c r="A51" s="663"/>
      <c r="B51" s="672">
        <v>4116</v>
      </c>
      <c r="C51" s="841" t="s">
        <v>3872</v>
      </c>
      <c r="D51" s="841"/>
      <c r="E51" s="841"/>
      <c r="F51" s="841"/>
      <c r="G51" s="841"/>
      <c r="H51" s="841"/>
      <c r="I51" s="841"/>
      <c r="J51" s="841"/>
      <c r="K51" s="841"/>
      <c r="L51" s="841"/>
      <c r="M51" s="838" t="s">
        <v>3873</v>
      </c>
      <c r="N51" s="838"/>
      <c r="O51" s="838"/>
      <c r="P51" s="838"/>
      <c r="Q51" s="839"/>
      <c r="R51" s="839"/>
      <c r="S51" s="839"/>
      <c r="T51" s="839"/>
      <c r="U51" s="673">
        <v>22350</v>
      </c>
      <c r="V51" s="840">
        <v>22350</v>
      </c>
      <c r="W51" s="840"/>
      <c r="X51" s="840"/>
      <c r="Y51" s="674">
        <v>100</v>
      </c>
      <c r="Z51" s="675"/>
      <c r="AA51" s="676"/>
      <c r="AB51" s="679" t="s">
        <v>3874</v>
      </c>
      <c r="AC51" s="660"/>
    </row>
    <row r="52" spans="1:33">
      <c r="A52" s="663"/>
      <c r="B52" s="672">
        <v>4123</v>
      </c>
      <c r="C52" s="841" t="s">
        <v>3875</v>
      </c>
      <c r="D52" s="841"/>
      <c r="E52" s="841"/>
      <c r="F52" s="841"/>
      <c r="G52" s="841"/>
      <c r="H52" s="841"/>
      <c r="I52" s="841"/>
      <c r="J52" s="841"/>
      <c r="K52" s="841"/>
      <c r="L52" s="841"/>
      <c r="M52" s="838" t="s">
        <v>3876</v>
      </c>
      <c r="N52" s="838"/>
      <c r="O52" s="838"/>
      <c r="P52" s="838"/>
      <c r="Q52" s="839"/>
      <c r="R52" s="839"/>
      <c r="S52" s="839"/>
      <c r="T52" s="839"/>
      <c r="U52" s="673">
        <v>590464.23</v>
      </c>
      <c r="V52" s="840">
        <v>0</v>
      </c>
      <c r="W52" s="840"/>
      <c r="X52" s="840"/>
      <c r="Y52" s="674">
        <v>0</v>
      </c>
      <c r="Z52" s="675"/>
      <c r="AA52" s="676"/>
      <c r="AB52" s="679" t="s">
        <v>3877</v>
      </c>
      <c r="AC52" s="660"/>
    </row>
    <row r="53" spans="1:33">
      <c r="A53" s="663"/>
      <c r="B53" s="672">
        <v>4123</v>
      </c>
      <c r="C53" s="841" t="s">
        <v>3878</v>
      </c>
      <c r="D53" s="841"/>
      <c r="E53" s="841"/>
      <c r="F53" s="841"/>
      <c r="G53" s="841"/>
      <c r="H53" s="841"/>
      <c r="I53" s="841"/>
      <c r="J53" s="841"/>
      <c r="K53" s="841"/>
      <c r="L53" s="841"/>
      <c r="M53" s="838" t="s">
        <v>3879</v>
      </c>
      <c r="N53" s="838"/>
      <c r="O53" s="838"/>
      <c r="P53" s="838"/>
      <c r="Q53" s="839"/>
      <c r="R53" s="839"/>
      <c r="S53" s="839"/>
      <c r="T53" s="839"/>
      <c r="U53" s="673">
        <v>6691927.96</v>
      </c>
      <c r="V53" s="840">
        <v>0</v>
      </c>
      <c r="W53" s="840"/>
      <c r="X53" s="840"/>
      <c r="Y53" s="674">
        <v>0</v>
      </c>
      <c r="Z53" s="675"/>
      <c r="AA53" s="676"/>
      <c r="AB53" s="679" t="s">
        <v>3877</v>
      </c>
      <c r="AC53" s="660"/>
    </row>
    <row r="54" spans="1:33">
      <c r="A54" s="663"/>
      <c r="B54" s="672">
        <v>4223</v>
      </c>
      <c r="C54" s="841" t="s">
        <v>3880</v>
      </c>
      <c r="D54" s="841"/>
      <c r="E54" s="841"/>
      <c r="F54" s="841"/>
      <c r="G54" s="841"/>
      <c r="H54" s="841"/>
      <c r="I54" s="841"/>
      <c r="J54" s="841"/>
      <c r="K54" s="841"/>
      <c r="L54" s="841"/>
      <c r="M54" s="838" t="s">
        <v>3881</v>
      </c>
      <c r="N54" s="838"/>
      <c r="O54" s="838"/>
      <c r="P54" s="838"/>
      <c r="Q54" s="839"/>
      <c r="R54" s="839"/>
      <c r="S54" s="839"/>
      <c r="T54" s="839"/>
      <c r="U54" s="673">
        <v>17743100.399999999</v>
      </c>
      <c r="V54" s="840">
        <v>0</v>
      </c>
      <c r="W54" s="840"/>
      <c r="X54" s="840"/>
      <c r="Y54" s="674">
        <v>0</v>
      </c>
      <c r="Z54" s="675"/>
      <c r="AA54" s="676"/>
      <c r="AB54" s="679" t="s">
        <v>3877</v>
      </c>
      <c r="AC54" s="660"/>
    </row>
    <row r="55" spans="1:33">
      <c r="A55" s="663"/>
      <c r="B55" s="672">
        <v>4223</v>
      </c>
      <c r="C55" s="841" t="s">
        <v>3882</v>
      </c>
      <c r="D55" s="841"/>
      <c r="E55" s="841"/>
      <c r="F55" s="841"/>
      <c r="G55" s="841"/>
      <c r="H55" s="841"/>
      <c r="I55" s="841"/>
      <c r="J55" s="841"/>
      <c r="K55" s="841"/>
      <c r="L55" s="841"/>
      <c r="M55" s="838" t="s">
        <v>3883</v>
      </c>
      <c r="N55" s="838"/>
      <c r="O55" s="838"/>
      <c r="P55" s="838"/>
      <c r="Q55" s="839"/>
      <c r="R55" s="839"/>
      <c r="S55" s="839"/>
      <c r="T55" s="839"/>
      <c r="U55" s="673">
        <v>201088471.24000001</v>
      </c>
      <c r="V55" s="840">
        <v>0</v>
      </c>
      <c r="W55" s="840"/>
      <c r="X55" s="840"/>
      <c r="Y55" s="674">
        <v>0</v>
      </c>
      <c r="Z55" s="675"/>
      <c r="AA55" s="676"/>
      <c r="AB55" s="679" t="s">
        <v>3877</v>
      </c>
      <c r="AC55" s="660"/>
    </row>
    <row r="56" spans="1:33" ht="21" customHeight="1">
      <c r="A56" s="663"/>
      <c r="B56" s="672">
        <v>4113</v>
      </c>
      <c r="C56" s="841" t="s">
        <v>3884</v>
      </c>
      <c r="D56" s="841"/>
      <c r="E56" s="841"/>
      <c r="F56" s="841"/>
      <c r="G56" s="841"/>
      <c r="H56" s="841"/>
      <c r="I56" s="841"/>
      <c r="J56" s="841"/>
      <c r="K56" s="841"/>
      <c r="L56" s="841"/>
      <c r="M56" s="838" t="s">
        <v>3885</v>
      </c>
      <c r="N56" s="838"/>
      <c r="O56" s="838"/>
      <c r="P56" s="838"/>
      <c r="Q56" s="839"/>
      <c r="R56" s="839"/>
      <c r="S56" s="839"/>
      <c r="T56" s="839"/>
      <c r="U56" s="673">
        <v>295640.90999999997</v>
      </c>
      <c r="V56" s="840">
        <v>345338.31</v>
      </c>
      <c r="W56" s="840"/>
      <c r="X56" s="840"/>
      <c r="Y56" s="674">
        <f>V56/U56*100</f>
        <v>116.81005514426268</v>
      </c>
      <c r="Z56" s="675"/>
      <c r="AA56" s="676"/>
      <c r="AB56" s="679" t="s">
        <v>3886</v>
      </c>
      <c r="AC56" s="660"/>
    </row>
    <row r="57" spans="1:33">
      <c r="A57" s="663"/>
      <c r="B57" s="672">
        <v>4118</v>
      </c>
      <c r="C57" s="841" t="s">
        <v>3887</v>
      </c>
      <c r="D57" s="841"/>
      <c r="E57" s="841"/>
      <c r="F57" s="841"/>
      <c r="G57" s="841"/>
      <c r="H57" s="841"/>
      <c r="I57" s="841"/>
      <c r="J57" s="841"/>
      <c r="K57" s="841"/>
      <c r="L57" s="841"/>
      <c r="M57" s="838" t="s">
        <v>3888</v>
      </c>
      <c r="N57" s="838"/>
      <c r="O57" s="838"/>
      <c r="P57" s="838"/>
      <c r="Q57" s="839"/>
      <c r="R57" s="839"/>
      <c r="S57" s="839"/>
      <c r="T57" s="839"/>
      <c r="U57" s="673">
        <v>7959757.8499999996</v>
      </c>
      <c r="V57" s="841">
        <v>6593540.0800000001</v>
      </c>
      <c r="W57" s="841"/>
      <c r="X57" s="841"/>
      <c r="Y57" s="674">
        <f>V57/U57*100</f>
        <v>82.835938030451516</v>
      </c>
      <c r="Z57" s="675"/>
      <c r="AA57" s="676"/>
      <c r="AB57" s="679" t="s">
        <v>3889</v>
      </c>
      <c r="AC57" s="660"/>
    </row>
    <row r="58" spans="1:33" ht="14.4" customHeight="1">
      <c r="A58" s="663"/>
      <c r="B58" s="672">
        <v>4218</v>
      </c>
      <c r="C58" s="841" t="s">
        <v>3890</v>
      </c>
      <c r="D58" s="841"/>
      <c r="E58" s="841"/>
      <c r="F58" s="841"/>
      <c r="G58" s="841"/>
      <c r="H58" s="841"/>
      <c r="I58" s="841"/>
      <c r="J58" s="841"/>
      <c r="K58" s="841"/>
      <c r="L58" s="841"/>
      <c r="M58" s="838" t="s">
        <v>3891</v>
      </c>
      <c r="N58" s="838"/>
      <c r="O58" s="838"/>
      <c r="P58" s="838"/>
      <c r="Q58" s="839"/>
      <c r="R58" s="839"/>
      <c r="S58" s="839"/>
      <c r="T58" s="839"/>
      <c r="U58" s="673">
        <v>2102580.87</v>
      </c>
      <c r="V58" s="840">
        <v>915654</v>
      </c>
      <c r="W58" s="840"/>
      <c r="X58" s="840"/>
      <c r="Y58" s="674">
        <f>V58/U58*100</f>
        <v>43.549050267921444</v>
      </c>
      <c r="Z58" s="675"/>
      <c r="AA58" s="676"/>
      <c r="AB58" s="679" t="s">
        <v>3889</v>
      </c>
      <c r="AC58" s="660"/>
    </row>
    <row r="59" spans="1:33">
      <c r="A59" s="663"/>
      <c r="B59" s="672">
        <v>4111</v>
      </c>
      <c r="C59" s="841" t="s">
        <v>3892</v>
      </c>
      <c r="D59" s="841"/>
      <c r="E59" s="841"/>
      <c r="F59" s="841"/>
      <c r="G59" s="841"/>
      <c r="H59" s="841"/>
      <c r="I59" s="841"/>
      <c r="J59" s="841"/>
      <c r="K59" s="841"/>
      <c r="L59" s="841"/>
      <c r="M59" s="838" t="s">
        <v>3893</v>
      </c>
      <c r="N59" s="838"/>
      <c r="O59" s="838"/>
      <c r="P59" s="838"/>
      <c r="Q59" s="839"/>
      <c r="R59" s="839"/>
      <c r="S59" s="839"/>
      <c r="T59" s="839"/>
      <c r="U59" s="673">
        <v>326463</v>
      </c>
      <c r="V59" s="840">
        <v>0</v>
      </c>
      <c r="W59" s="840"/>
      <c r="X59" s="840"/>
      <c r="Y59" s="674">
        <v>0</v>
      </c>
      <c r="Z59" s="675"/>
      <c r="AA59" s="676"/>
      <c r="AB59" s="679" t="s">
        <v>3894</v>
      </c>
      <c r="AC59" s="660"/>
    </row>
    <row r="60" spans="1:33" ht="21" customHeight="1">
      <c r="A60" s="663"/>
      <c r="B60" s="672">
        <v>4111</v>
      </c>
      <c r="C60" s="841" t="s">
        <v>3895</v>
      </c>
      <c r="D60" s="841"/>
      <c r="E60" s="841"/>
      <c r="F60" s="841"/>
      <c r="G60" s="841"/>
      <c r="H60" s="841"/>
      <c r="I60" s="841"/>
      <c r="J60" s="841"/>
      <c r="K60" s="841"/>
      <c r="L60" s="841"/>
      <c r="M60" s="838" t="s">
        <v>3896</v>
      </c>
      <c r="N60" s="838"/>
      <c r="O60" s="838"/>
      <c r="P60" s="838"/>
      <c r="Q60" s="839"/>
      <c r="R60" s="839"/>
      <c r="S60" s="839"/>
      <c r="T60" s="839"/>
      <c r="U60" s="673">
        <v>200000</v>
      </c>
      <c r="V60" s="840">
        <v>225729.1</v>
      </c>
      <c r="W60" s="840"/>
      <c r="X60" s="840"/>
      <c r="Y60" s="674">
        <f>V60/U60*100</f>
        <v>112.86454999999999</v>
      </c>
      <c r="Z60" s="675"/>
      <c r="AA60" s="676"/>
      <c r="AB60" s="679" t="s">
        <v>3894</v>
      </c>
      <c r="AC60" s="660"/>
    </row>
    <row r="61" spans="1:33" ht="20.399999999999999" customHeight="1">
      <c r="A61" s="663"/>
      <c r="B61" s="672">
        <v>4111</v>
      </c>
      <c r="C61" s="841" t="s">
        <v>3897</v>
      </c>
      <c r="D61" s="841"/>
      <c r="E61" s="841"/>
      <c r="F61" s="841"/>
      <c r="G61" s="841"/>
      <c r="H61" s="841"/>
      <c r="I61" s="841"/>
      <c r="J61" s="841"/>
      <c r="K61" s="841"/>
      <c r="L61" s="841"/>
      <c r="M61" s="838" t="s">
        <v>3898</v>
      </c>
      <c r="N61" s="838"/>
      <c r="O61" s="838"/>
      <c r="P61" s="838"/>
      <c r="Q61" s="839"/>
      <c r="R61" s="839"/>
      <c r="S61" s="839"/>
      <c r="T61" s="839"/>
      <c r="U61" s="673">
        <v>60000</v>
      </c>
      <c r="V61" s="840">
        <v>54168.13</v>
      </c>
      <c r="W61" s="840"/>
      <c r="X61" s="840"/>
      <c r="Y61" s="674">
        <f>V61/U61*100</f>
        <v>90.280216666666661</v>
      </c>
      <c r="Z61" s="675"/>
      <c r="AA61" s="676"/>
      <c r="AB61" s="679" t="s">
        <v>3894</v>
      </c>
      <c r="AC61" s="660"/>
    </row>
    <row r="62" spans="1:33" ht="22.2" customHeight="1">
      <c r="A62" s="663"/>
      <c r="B62" s="672">
        <v>4111</v>
      </c>
      <c r="C62" s="841" t="s">
        <v>3899</v>
      </c>
      <c r="D62" s="841"/>
      <c r="E62" s="841"/>
      <c r="F62" s="841"/>
      <c r="G62" s="841"/>
      <c r="H62" s="841"/>
      <c r="I62" s="841"/>
      <c r="J62" s="841"/>
      <c r="K62" s="841"/>
      <c r="L62" s="841"/>
      <c r="M62" s="838" t="s">
        <v>3900</v>
      </c>
      <c r="N62" s="838"/>
      <c r="O62" s="838"/>
      <c r="P62" s="838"/>
      <c r="Q62" s="839"/>
      <c r="R62" s="839"/>
      <c r="S62" s="839"/>
      <c r="T62" s="839"/>
      <c r="U62" s="673">
        <v>260000</v>
      </c>
      <c r="V62" s="840">
        <v>258506</v>
      </c>
      <c r="W62" s="840"/>
      <c r="X62" s="840"/>
      <c r="Y62" s="674">
        <f>V62/U62*100</f>
        <v>99.425384615384615</v>
      </c>
      <c r="Z62" s="675"/>
      <c r="AA62" s="676"/>
      <c r="AB62" s="679" t="s">
        <v>3894</v>
      </c>
      <c r="AC62" s="660"/>
      <c r="AG62" s="682"/>
    </row>
    <row r="63" spans="1:33" ht="21" customHeight="1">
      <c r="A63" s="663"/>
      <c r="B63" s="672">
        <v>4111</v>
      </c>
      <c r="C63" s="841" t="s">
        <v>3901</v>
      </c>
      <c r="D63" s="841"/>
      <c r="E63" s="841"/>
      <c r="F63" s="841"/>
      <c r="G63" s="841"/>
      <c r="H63" s="841"/>
      <c r="I63" s="841"/>
      <c r="J63" s="841"/>
      <c r="K63" s="841"/>
      <c r="L63" s="841"/>
      <c r="M63" s="838" t="s">
        <v>3902</v>
      </c>
      <c r="N63" s="838"/>
      <c r="O63" s="838"/>
      <c r="P63" s="838"/>
      <c r="Q63" s="839"/>
      <c r="R63" s="839"/>
      <c r="S63" s="839"/>
      <c r="T63" s="839"/>
      <c r="U63" s="673">
        <v>2302365.2199999997</v>
      </c>
      <c r="V63" s="840">
        <v>2302365.2199999997</v>
      </c>
      <c r="W63" s="840"/>
      <c r="X63" s="840"/>
      <c r="Y63" s="674">
        <v>100</v>
      </c>
      <c r="Z63" s="675"/>
      <c r="AA63" s="676"/>
      <c r="AB63" s="679" t="s">
        <v>3894</v>
      </c>
      <c r="AC63" s="660"/>
    </row>
    <row r="64" spans="1:33">
      <c r="A64" s="663"/>
      <c r="B64" s="672">
        <v>4111</v>
      </c>
      <c r="C64" s="841" t="s">
        <v>3903</v>
      </c>
      <c r="D64" s="841"/>
      <c r="E64" s="841"/>
      <c r="F64" s="841"/>
      <c r="G64" s="841"/>
      <c r="H64" s="841"/>
      <c r="I64" s="841"/>
      <c r="J64" s="841"/>
      <c r="K64" s="841"/>
      <c r="L64" s="841"/>
      <c r="M64" s="838" t="s">
        <v>3904</v>
      </c>
      <c r="N64" s="838"/>
      <c r="O64" s="838"/>
      <c r="P64" s="838"/>
      <c r="Q64" s="839"/>
      <c r="R64" s="839"/>
      <c r="S64" s="839"/>
      <c r="T64" s="839"/>
      <c r="U64" s="673">
        <v>174083.41</v>
      </c>
      <c r="V64" s="840">
        <v>142483.96</v>
      </c>
      <c r="W64" s="840"/>
      <c r="X64" s="840"/>
      <c r="Y64" s="674">
        <f>V64/U64*100</f>
        <v>81.848097989348886</v>
      </c>
      <c r="Z64" s="675"/>
      <c r="AA64" s="676"/>
      <c r="AB64" s="679" t="s">
        <v>3894</v>
      </c>
      <c r="AC64" s="660"/>
    </row>
    <row r="65" spans="1:31" ht="18" customHeight="1">
      <c r="A65" s="663"/>
      <c r="B65" s="672">
        <v>4111</v>
      </c>
      <c r="C65" s="841">
        <v>98335</v>
      </c>
      <c r="D65" s="841"/>
      <c r="E65" s="841"/>
      <c r="F65" s="841"/>
      <c r="G65" s="841"/>
      <c r="H65" s="841"/>
      <c r="I65" s="841"/>
      <c r="J65" s="841"/>
      <c r="K65" s="841"/>
      <c r="L65" s="841"/>
      <c r="M65" s="857" t="s">
        <v>3905</v>
      </c>
      <c r="N65" s="858"/>
      <c r="O65" s="858"/>
      <c r="P65" s="859"/>
      <c r="Q65" s="838"/>
      <c r="R65" s="838"/>
      <c r="S65" s="838"/>
      <c r="T65" s="838"/>
      <c r="U65" s="683">
        <v>2067704.52</v>
      </c>
      <c r="V65" s="844">
        <v>2067704.52</v>
      </c>
      <c r="W65" s="844"/>
      <c r="X65" s="844"/>
      <c r="Y65" s="674">
        <v>100</v>
      </c>
      <c r="Z65" s="675"/>
      <c r="AA65" s="676"/>
      <c r="AB65" s="679" t="s">
        <v>3894</v>
      </c>
      <c r="AC65" s="660"/>
    </row>
    <row r="66" spans="1:31" ht="15" customHeight="1" thickBot="1">
      <c r="A66" s="663"/>
      <c r="B66" s="684">
        <v>4211</v>
      </c>
      <c r="C66" s="845" t="s">
        <v>3906</v>
      </c>
      <c r="D66" s="845"/>
      <c r="E66" s="845"/>
      <c r="F66" s="845"/>
      <c r="G66" s="845"/>
      <c r="H66" s="845"/>
      <c r="I66" s="845"/>
      <c r="J66" s="845"/>
      <c r="K66" s="845"/>
      <c r="L66" s="845"/>
      <c r="M66" s="846" t="s">
        <v>3907</v>
      </c>
      <c r="N66" s="846"/>
      <c r="O66" s="846"/>
      <c r="P66" s="846"/>
      <c r="Q66" s="847"/>
      <c r="R66" s="847"/>
      <c r="S66" s="847"/>
      <c r="T66" s="847"/>
      <c r="U66" s="685">
        <v>3392764</v>
      </c>
      <c r="V66" s="848">
        <v>3377504</v>
      </c>
      <c r="W66" s="848"/>
      <c r="X66" s="848"/>
      <c r="Y66" s="686">
        <f>V66/U66*100</f>
        <v>99.550219231281631</v>
      </c>
      <c r="Z66" s="687"/>
      <c r="AA66" s="688"/>
      <c r="AB66" s="689" t="s">
        <v>3894</v>
      </c>
      <c r="AC66" s="660"/>
      <c r="AD66" s="660"/>
    </row>
    <row r="67" spans="1:31" ht="15" customHeight="1" thickBot="1">
      <c r="A67" s="660"/>
      <c r="B67" s="849" t="s">
        <v>1234</v>
      </c>
      <c r="C67" s="850"/>
      <c r="D67" s="850"/>
      <c r="E67" s="850"/>
      <c r="F67" s="850"/>
      <c r="G67" s="850"/>
      <c r="H67" s="850"/>
      <c r="I67" s="850"/>
      <c r="J67" s="850"/>
      <c r="K67" s="850"/>
      <c r="L67" s="850"/>
      <c r="M67" s="850"/>
      <c r="N67" s="850"/>
      <c r="O67" s="850"/>
      <c r="P67" s="850"/>
      <c r="Q67" s="851"/>
      <c r="R67" s="718"/>
      <c r="S67" s="718"/>
      <c r="T67" s="718"/>
      <c r="U67" s="719">
        <f>SUM(U6:U66)</f>
        <v>4607613042.3599997</v>
      </c>
      <c r="V67" s="720">
        <f>SUM(V6:V66)</f>
        <v>4442451245.0700016</v>
      </c>
      <c r="W67" s="719"/>
      <c r="X67" s="719"/>
      <c r="Y67" s="721">
        <f>V67/U67*100</f>
        <v>96.415458594903996</v>
      </c>
      <c r="Z67" s="722"/>
      <c r="AA67" s="722"/>
      <c r="AB67" s="723"/>
      <c r="AC67" s="660"/>
      <c r="AD67" s="660"/>
    </row>
    <row r="68" spans="1:31">
      <c r="B68" s="690"/>
      <c r="C68" s="690"/>
      <c r="D68" s="690"/>
      <c r="E68" s="690"/>
      <c r="F68" s="690"/>
      <c r="G68" s="690"/>
      <c r="H68" s="690"/>
      <c r="I68" s="690"/>
      <c r="J68" s="690"/>
      <c r="K68" s="690"/>
      <c r="L68" s="690"/>
      <c r="M68" s="690"/>
      <c r="N68" s="690"/>
      <c r="O68" s="690"/>
      <c r="P68" s="690"/>
      <c r="Q68" s="690"/>
      <c r="R68" s="690"/>
      <c r="S68" s="690"/>
      <c r="T68" s="690"/>
      <c r="U68" s="690"/>
      <c r="V68" s="690"/>
      <c r="W68" s="690"/>
      <c r="X68" s="690"/>
      <c r="Y68" s="690"/>
      <c r="Z68" s="690"/>
      <c r="AA68" s="690"/>
      <c r="AB68" s="691"/>
    </row>
    <row r="69" spans="1:31" ht="13.8" thickBot="1">
      <c r="B69" s="852" t="s">
        <v>3908</v>
      </c>
      <c r="C69" s="852"/>
      <c r="D69" s="852"/>
      <c r="E69" s="852"/>
      <c r="F69" s="852"/>
      <c r="G69" s="852"/>
      <c r="H69" s="852"/>
      <c r="I69" s="852"/>
      <c r="J69" s="852"/>
      <c r="K69" s="852"/>
      <c r="L69" s="852"/>
      <c r="M69" s="852"/>
      <c r="N69" s="852"/>
      <c r="O69" s="852"/>
      <c r="P69" s="690"/>
      <c r="Q69" s="690"/>
      <c r="R69" s="690"/>
      <c r="S69" s="690"/>
      <c r="T69" s="690"/>
      <c r="U69" s="690"/>
      <c r="V69" s="690"/>
      <c r="W69" s="690"/>
      <c r="X69" s="690"/>
      <c r="Y69" s="690"/>
      <c r="Z69" s="690"/>
      <c r="AA69" s="690"/>
      <c r="AB69" s="691"/>
    </row>
    <row r="70" spans="1:31" ht="22.8" thickBot="1">
      <c r="B70" s="715" t="s">
        <v>3830</v>
      </c>
      <c r="C70" s="716" t="s">
        <v>3831</v>
      </c>
      <c r="D70" s="715"/>
      <c r="E70" s="715"/>
      <c r="F70" s="715"/>
      <c r="G70" s="715"/>
      <c r="H70" s="715"/>
      <c r="I70" s="715"/>
      <c r="J70" s="715"/>
      <c r="K70" s="715"/>
      <c r="L70" s="715"/>
      <c r="M70" s="853" t="s">
        <v>1289</v>
      </c>
      <c r="N70" s="853"/>
      <c r="O70" s="853"/>
      <c r="P70" s="853"/>
      <c r="Q70" s="717" t="s">
        <v>3832</v>
      </c>
      <c r="R70" s="715"/>
      <c r="S70" s="715"/>
      <c r="T70" s="715"/>
      <c r="U70" s="715" t="s">
        <v>3909</v>
      </c>
      <c r="V70" s="715" t="s">
        <v>3834</v>
      </c>
      <c r="W70" s="715"/>
      <c r="X70" s="715"/>
      <c r="Y70" s="715" t="s">
        <v>3835</v>
      </c>
      <c r="Z70" s="715"/>
      <c r="AA70" s="715"/>
      <c r="AB70" s="715" t="s">
        <v>1256</v>
      </c>
    </row>
    <row r="71" spans="1:31" ht="25.95" customHeight="1">
      <c r="A71" s="692"/>
      <c r="B71" s="664">
        <v>4216</v>
      </c>
      <c r="C71" s="854">
        <v>13501</v>
      </c>
      <c r="D71" s="855"/>
      <c r="E71" s="855"/>
      <c r="F71" s="855"/>
      <c r="G71" s="855"/>
      <c r="H71" s="855"/>
      <c r="I71" s="855"/>
      <c r="J71" s="855"/>
      <c r="K71" s="855"/>
      <c r="L71" s="856"/>
      <c r="M71" s="832" t="s">
        <v>1779</v>
      </c>
      <c r="N71" s="832"/>
      <c r="O71" s="832"/>
      <c r="P71" s="832"/>
      <c r="Q71" s="833"/>
      <c r="R71" s="833"/>
      <c r="S71" s="833"/>
      <c r="T71" s="833"/>
      <c r="U71" s="665">
        <v>21488000</v>
      </c>
      <c r="V71" s="834">
        <v>21488000</v>
      </c>
      <c r="W71" s="834"/>
      <c r="X71" s="834"/>
      <c r="Y71" s="666">
        <v>100</v>
      </c>
      <c r="Z71" s="667"/>
      <c r="AA71" s="668"/>
      <c r="AB71" s="693" t="s">
        <v>1259</v>
      </c>
      <c r="AE71" s="660"/>
    </row>
    <row r="72" spans="1:31" ht="24.6" customHeight="1">
      <c r="A72" s="694"/>
      <c r="B72" s="672">
        <v>4116</v>
      </c>
      <c r="C72" s="841">
        <v>17466</v>
      </c>
      <c r="D72" s="841"/>
      <c r="E72" s="841"/>
      <c r="F72" s="841"/>
      <c r="G72" s="841"/>
      <c r="H72" s="841"/>
      <c r="I72" s="841"/>
      <c r="J72" s="841"/>
      <c r="K72" s="841"/>
      <c r="L72" s="841"/>
      <c r="M72" s="838" t="s">
        <v>3910</v>
      </c>
      <c r="N72" s="838"/>
      <c r="O72" s="838"/>
      <c r="P72" s="838"/>
      <c r="Q72" s="833"/>
      <c r="R72" s="833"/>
      <c r="S72" s="833"/>
      <c r="T72" s="833"/>
      <c r="U72" s="665">
        <v>1420000</v>
      </c>
      <c r="V72" s="834">
        <v>1420000</v>
      </c>
      <c r="W72" s="834"/>
      <c r="X72" s="834"/>
      <c r="Y72" s="666">
        <v>100</v>
      </c>
      <c r="Z72" s="667"/>
      <c r="AA72" s="668"/>
      <c r="AB72" s="695" t="s">
        <v>1264</v>
      </c>
    </row>
    <row r="73" spans="1:31" ht="24" customHeight="1">
      <c r="A73" s="694"/>
      <c r="B73" s="672">
        <v>4216</v>
      </c>
      <c r="C73" s="835">
        <v>17789</v>
      </c>
      <c r="D73" s="836"/>
      <c r="E73" s="836"/>
      <c r="F73" s="836"/>
      <c r="G73" s="836"/>
      <c r="H73" s="836"/>
      <c r="I73" s="836"/>
      <c r="J73" s="836"/>
      <c r="K73" s="836"/>
      <c r="L73" s="837"/>
      <c r="M73" s="838" t="s">
        <v>3911</v>
      </c>
      <c r="N73" s="838"/>
      <c r="O73" s="838"/>
      <c r="P73" s="838"/>
      <c r="Q73" s="839"/>
      <c r="R73" s="839"/>
      <c r="S73" s="839"/>
      <c r="T73" s="839"/>
      <c r="U73" s="673">
        <v>3421000</v>
      </c>
      <c r="V73" s="840">
        <v>3421000</v>
      </c>
      <c r="W73" s="840"/>
      <c r="X73" s="840"/>
      <c r="Y73" s="674">
        <v>100</v>
      </c>
      <c r="Z73" s="675"/>
      <c r="AA73" s="676"/>
      <c r="AB73" s="679" t="s">
        <v>1264</v>
      </c>
    </row>
    <row r="74" spans="1:31" ht="18.600000000000001" customHeight="1">
      <c r="A74" s="694"/>
      <c r="B74" s="672">
        <v>4216</v>
      </c>
      <c r="C74" s="835">
        <v>14876</v>
      </c>
      <c r="D74" s="836"/>
      <c r="E74" s="836"/>
      <c r="F74" s="836"/>
      <c r="G74" s="836"/>
      <c r="H74" s="836"/>
      <c r="I74" s="836"/>
      <c r="J74" s="836"/>
      <c r="K74" s="836"/>
      <c r="L74" s="837"/>
      <c r="M74" s="838" t="s">
        <v>3912</v>
      </c>
      <c r="N74" s="838"/>
      <c r="O74" s="838"/>
      <c r="P74" s="838"/>
      <c r="Q74" s="839"/>
      <c r="R74" s="839"/>
      <c r="S74" s="839"/>
      <c r="T74" s="839"/>
      <c r="U74" s="673">
        <v>414000</v>
      </c>
      <c r="V74" s="840">
        <v>414000</v>
      </c>
      <c r="W74" s="840"/>
      <c r="X74" s="840"/>
      <c r="Y74" s="674">
        <v>100</v>
      </c>
      <c r="Z74" s="675"/>
      <c r="AA74" s="676"/>
      <c r="AB74" s="679" t="s">
        <v>1269</v>
      </c>
    </row>
    <row r="75" spans="1:31" ht="22.2" customHeight="1">
      <c r="A75" s="694"/>
      <c r="B75" s="672">
        <v>4216</v>
      </c>
      <c r="C75" s="835">
        <v>34711</v>
      </c>
      <c r="D75" s="836"/>
      <c r="E75" s="836"/>
      <c r="F75" s="836"/>
      <c r="G75" s="836"/>
      <c r="H75" s="836"/>
      <c r="I75" s="836"/>
      <c r="J75" s="836"/>
      <c r="K75" s="836"/>
      <c r="L75" s="837"/>
      <c r="M75" s="838" t="s">
        <v>3913</v>
      </c>
      <c r="N75" s="838"/>
      <c r="O75" s="838"/>
      <c r="P75" s="838"/>
      <c r="Q75" s="839"/>
      <c r="R75" s="839"/>
      <c r="S75" s="678"/>
      <c r="T75" s="678"/>
      <c r="U75" s="673">
        <v>331000</v>
      </c>
      <c r="V75" s="840">
        <v>331000</v>
      </c>
      <c r="W75" s="840"/>
      <c r="X75" s="840"/>
      <c r="Y75" s="674">
        <v>100</v>
      </c>
      <c r="Z75" s="675"/>
      <c r="AA75" s="676"/>
      <c r="AB75" s="679" t="s">
        <v>1274</v>
      </c>
    </row>
    <row r="76" spans="1:31" ht="18.600000000000001" customHeight="1" thickBot="1">
      <c r="A76" s="694"/>
      <c r="B76" s="672">
        <v>4116</v>
      </c>
      <c r="C76" s="835">
        <v>34342</v>
      </c>
      <c r="D76" s="836"/>
      <c r="E76" s="836"/>
      <c r="F76" s="836"/>
      <c r="G76" s="836"/>
      <c r="H76" s="836"/>
      <c r="I76" s="836"/>
      <c r="J76" s="836"/>
      <c r="K76" s="836"/>
      <c r="L76" s="837"/>
      <c r="M76" s="838" t="s">
        <v>3914</v>
      </c>
      <c r="N76" s="838"/>
      <c r="O76" s="838"/>
      <c r="P76" s="838"/>
      <c r="Q76" s="839"/>
      <c r="R76" s="839"/>
      <c r="S76" s="839"/>
      <c r="T76" s="839"/>
      <c r="U76" s="673">
        <v>73000</v>
      </c>
      <c r="V76" s="840">
        <v>73000</v>
      </c>
      <c r="W76" s="840"/>
      <c r="X76" s="840"/>
      <c r="Y76" s="674">
        <v>100</v>
      </c>
      <c r="Z76" s="675"/>
      <c r="AA76" s="676"/>
      <c r="AB76" s="679" t="s">
        <v>1274</v>
      </c>
    </row>
    <row r="77" spans="1:31" ht="13.8" thickBot="1">
      <c r="B77" s="860" t="s">
        <v>1234</v>
      </c>
      <c r="C77" s="861"/>
      <c r="D77" s="861"/>
      <c r="E77" s="861"/>
      <c r="F77" s="861"/>
      <c r="G77" s="861"/>
      <c r="H77" s="861"/>
      <c r="I77" s="861"/>
      <c r="J77" s="861"/>
      <c r="K77" s="861"/>
      <c r="L77" s="861"/>
      <c r="M77" s="861"/>
      <c r="N77" s="861"/>
      <c r="O77" s="861"/>
      <c r="P77" s="861"/>
      <c r="Q77" s="861"/>
      <c r="R77" s="861"/>
      <c r="S77" s="861"/>
      <c r="T77" s="862"/>
      <c r="U77" s="724">
        <f>SUM(U71:U76)</f>
        <v>27147000</v>
      </c>
      <c r="V77" s="863">
        <f>SUM(V71:V76)</f>
        <v>27147000</v>
      </c>
      <c r="W77" s="863"/>
      <c r="X77" s="863"/>
      <c r="Y77" s="725">
        <v>100</v>
      </c>
      <c r="Z77" s="726"/>
      <c r="AA77" s="727"/>
      <c r="AB77" s="728"/>
    </row>
    <row r="78" spans="1:31">
      <c r="B78" s="696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8"/>
      <c r="V78" s="698"/>
      <c r="W78" s="698"/>
      <c r="X78" s="698"/>
      <c r="Y78" s="699"/>
      <c r="Z78" s="700"/>
      <c r="AA78" s="700"/>
      <c r="AB78" s="701"/>
    </row>
    <row r="79" spans="1:31" ht="0.6" customHeight="1">
      <c r="B79" s="702"/>
      <c r="C79" s="703"/>
      <c r="D79" s="703"/>
      <c r="E79" s="703"/>
      <c r="F79" s="703"/>
      <c r="G79" s="703"/>
      <c r="H79" s="703"/>
      <c r="I79" s="703"/>
      <c r="J79" s="703"/>
      <c r="K79" s="703"/>
      <c r="L79" s="703"/>
      <c r="M79" s="703"/>
      <c r="N79" s="703"/>
      <c r="O79" s="703"/>
      <c r="P79" s="703"/>
      <c r="Q79" s="703"/>
      <c r="R79" s="703"/>
      <c r="S79" s="703"/>
      <c r="T79" s="703"/>
      <c r="U79" s="703"/>
      <c r="V79" s="703"/>
      <c r="W79" s="703"/>
      <c r="X79" s="703"/>
      <c r="Y79" s="703"/>
      <c r="Z79" s="703"/>
      <c r="AA79" s="703"/>
      <c r="AB79" s="704"/>
    </row>
    <row r="80" spans="1:31">
      <c r="B80" s="705" t="s">
        <v>1785</v>
      </c>
      <c r="C80" s="705"/>
      <c r="D80" s="705"/>
      <c r="E80" s="705"/>
      <c r="F80" s="705"/>
      <c r="G80" s="705"/>
      <c r="H80" s="705"/>
      <c r="I80" s="705"/>
      <c r="J80" s="705"/>
      <c r="K80" s="705"/>
      <c r="L80" s="705"/>
      <c r="M80" s="705"/>
      <c r="N80" s="705"/>
      <c r="O80" s="706"/>
      <c r="P80" s="706"/>
      <c r="Q80" s="706"/>
      <c r="R80" s="706"/>
      <c r="S80" s="706"/>
      <c r="T80" s="706"/>
      <c r="U80" s="706"/>
      <c r="V80" s="706"/>
      <c r="W80" s="706"/>
      <c r="X80" s="706"/>
      <c r="Y80" s="706"/>
      <c r="Z80" s="706"/>
      <c r="AA80" s="706"/>
      <c r="AB80" s="706"/>
    </row>
    <row r="81" spans="2:28">
      <c r="B81" s="706"/>
      <c r="C81" s="706" t="s">
        <v>1786</v>
      </c>
      <c r="D81" s="706"/>
      <c r="E81" s="706" t="s">
        <v>3915</v>
      </c>
      <c r="F81" s="706"/>
      <c r="G81" s="706"/>
      <c r="H81" s="706"/>
      <c r="I81" s="706"/>
      <c r="J81" s="706"/>
      <c r="K81" s="706"/>
      <c r="L81" s="706"/>
      <c r="M81" s="706"/>
      <c r="N81" s="706"/>
      <c r="O81" s="706"/>
      <c r="P81" s="706"/>
      <c r="Q81" s="706"/>
      <c r="R81" s="706"/>
      <c r="S81" s="706"/>
      <c r="T81" s="706"/>
      <c r="U81" s="706"/>
      <c r="V81" s="706" t="s">
        <v>3915</v>
      </c>
      <c r="W81" s="706"/>
      <c r="X81" s="706"/>
      <c r="Y81" s="706"/>
      <c r="Z81" s="706"/>
      <c r="AA81" s="706"/>
      <c r="AB81" s="706"/>
    </row>
    <row r="82" spans="2:28">
      <c r="B82" s="706"/>
      <c r="C82" s="706" t="s">
        <v>3916</v>
      </c>
      <c r="D82" s="706"/>
      <c r="E82" s="706" t="s">
        <v>1787</v>
      </c>
      <c r="F82" s="706"/>
      <c r="G82" s="706"/>
      <c r="H82" s="706"/>
      <c r="I82" s="706"/>
      <c r="J82" s="706"/>
      <c r="K82" s="706"/>
      <c r="L82" s="706"/>
      <c r="M82" s="706"/>
      <c r="N82" s="706"/>
      <c r="O82" s="706"/>
      <c r="P82" s="706"/>
      <c r="Q82" s="706"/>
      <c r="R82" s="706"/>
      <c r="S82" s="706"/>
      <c r="T82" s="706"/>
      <c r="U82" s="706"/>
      <c r="V82" s="706" t="s">
        <v>1787</v>
      </c>
      <c r="W82" s="706"/>
      <c r="X82" s="706"/>
      <c r="Y82" s="706"/>
      <c r="Z82" s="706"/>
      <c r="AA82" s="706"/>
      <c r="AB82" s="706"/>
    </row>
    <row r="83" spans="2:28">
      <c r="B83" s="706"/>
      <c r="C83" s="706" t="s">
        <v>1788</v>
      </c>
      <c r="D83" s="706"/>
      <c r="E83" s="706" t="s">
        <v>3917</v>
      </c>
      <c r="F83" s="706"/>
      <c r="G83" s="706"/>
      <c r="H83" s="706"/>
      <c r="I83" s="706"/>
      <c r="J83" s="706"/>
      <c r="K83" s="706"/>
      <c r="L83" s="706"/>
      <c r="M83" s="706"/>
      <c r="N83" s="706"/>
      <c r="O83" s="706"/>
      <c r="P83" s="706"/>
      <c r="Q83" s="706"/>
      <c r="R83" s="706"/>
      <c r="S83" s="706"/>
      <c r="T83" s="706"/>
      <c r="U83" s="706"/>
      <c r="V83" s="706" t="s">
        <v>3917</v>
      </c>
      <c r="W83" s="706"/>
      <c r="X83" s="706"/>
      <c r="Y83" s="706"/>
      <c r="Z83" s="706"/>
      <c r="AA83" s="706"/>
      <c r="AB83" s="706"/>
    </row>
    <row r="84" spans="2:28">
      <c r="B84" s="706"/>
      <c r="C84" s="706" t="s">
        <v>1789</v>
      </c>
      <c r="D84" s="706"/>
      <c r="E84" s="706" t="s">
        <v>3918</v>
      </c>
      <c r="F84" s="706"/>
      <c r="G84" s="706"/>
      <c r="H84" s="706"/>
      <c r="I84" s="706"/>
      <c r="J84" s="706"/>
      <c r="K84" s="706"/>
      <c r="L84" s="706"/>
      <c r="M84" s="706"/>
      <c r="N84" s="706"/>
      <c r="O84" s="706"/>
      <c r="P84" s="706"/>
      <c r="Q84" s="706"/>
      <c r="R84" s="706"/>
      <c r="S84" s="706"/>
      <c r="T84" s="706"/>
      <c r="U84" s="706"/>
      <c r="V84" s="706" t="s">
        <v>3918</v>
      </c>
      <c r="W84" s="706"/>
      <c r="X84" s="706"/>
      <c r="Y84" s="706"/>
      <c r="Z84" s="706"/>
      <c r="AA84" s="706"/>
      <c r="AB84" s="706"/>
    </row>
    <row r="85" spans="2:28">
      <c r="B85" s="706"/>
      <c r="C85" s="706" t="s">
        <v>3919</v>
      </c>
      <c r="D85" s="706"/>
      <c r="E85" s="706" t="s">
        <v>3920</v>
      </c>
      <c r="F85" s="706"/>
      <c r="G85" s="706"/>
      <c r="H85" s="706"/>
      <c r="I85" s="706"/>
      <c r="J85" s="706"/>
      <c r="K85" s="706"/>
      <c r="L85" s="706"/>
      <c r="M85" s="706"/>
      <c r="N85" s="706"/>
      <c r="O85" s="706"/>
      <c r="P85" s="706"/>
      <c r="Q85" s="706"/>
      <c r="R85" s="706"/>
      <c r="S85" s="706"/>
      <c r="T85" s="706"/>
      <c r="U85" s="706"/>
      <c r="V85" s="706" t="s">
        <v>3920</v>
      </c>
      <c r="W85" s="706"/>
      <c r="X85" s="706"/>
      <c r="Y85" s="706"/>
      <c r="Z85" s="706"/>
      <c r="AA85" s="706"/>
      <c r="AB85" s="706"/>
    </row>
    <row r="86" spans="2:28">
      <c r="B86" s="706"/>
      <c r="C86" s="706" t="s">
        <v>3921</v>
      </c>
      <c r="D86" s="706"/>
      <c r="E86" s="706" t="s">
        <v>3922</v>
      </c>
      <c r="F86" s="706"/>
      <c r="G86" s="706"/>
      <c r="H86" s="706"/>
      <c r="I86" s="706"/>
      <c r="J86" s="706"/>
      <c r="K86" s="706"/>
      <c r="L86" s="706"/>
      <c r="M86" s="706"/>
      <c r="N86" s="706"/>
      <c r="O86" s="706"/>
      <c r="P86" s="706"/>
      <c r="Q86" s="706"/>
      <c r="R86" s="706"/>
      <c r="S86" s="706"/>
      <c r="T86" s="706"/>
      <c r="U86" s="706"/>
      <c r="V86" s="706" t="s">
        <v>3922</v>
      </c>
      <c r="W86" s="706"/>
      <c r="X86" s="706"/>
      <c r="Y86" s="706"/>
      <c r="Z86" s="706"/>
      <c r="AA86" s="706"/>
      <c r="AB86" s="706"/>
    </row>
    <row r="87" spans="2:28">
      <c r="B87" s="707"/>
      <c r="C87" s="707" t="s">
        <v>3923</v>
      </c>
      <c r="D87" s="707"/>
      <c r="E87" s="707"/>
      <c r="F87" s="707"/>
      <c r="G87" s="707"/>
      <c r="H87" s="707"/>
      <c r="I87" s="707"/>
      <c r="J87" s="707"/>
      <c r="K87" s="707"/>
      <c r="L87" s="707"/>
      <c r="M87" s="707"/>
      <c r="N87" s="707"/>
      <c r="O87" s="707"/>
      <c r="P87" s="707"/>
      <c r="Q87" s="707"/>
      <c r="R87" s="707"/>
      <c r="S87" s="707"/>
      <c r="T87" s="707"/>
      <c r="U87" s="707"/>
      <c r="V87" s="707" t="s">
        <v>3924</v>
      </c>
      <c r="W87" s="707"/>
      <c r="X87" s="707"/>
      <c r="Y87" s="707"/>
      <c r="Z87" s="707"/>
      <c r="AA87" s="707"/>
      <c r="AB87" s="707"/>
    </row>
  </sheetData>
  <mergeCells count="274">
    <mergeCell ref="C76:L76"/>
    <mergeCell ref="M76:P76"/>
    <mergeCell ref="Q76:T76"/>
    <mergeCell ref="V76:X76"/>
    <mergeCell ref="B77:T77"/>
    <mergeCell ref="V77:X77"/>
    <mergeCell ref="C74:L74"/>
    <mergeCell ref="M74:P74"/>
    <mergeCell ref="Q74:T74"/>
    <mergeCell ref="V74:X74"/>
    <mergeCell ref="C75:L75"/>
    <mergeCell ref="M75:P75"/>
    <mergeCell ref="Q75:R75"/>
    <mergeCell ref="V75:X75"/>
    <mergeCell ref="V71:X71"/>
    <mergeCell ref="C72:L72"/>
    <mergeCell ref="M72:P72"/>
    <mergeCell ref="Q72:T72"/>
    <mergeCell ref="V72:X72"/>
    <mergeCell ref="C73:L73"/>
    <mergeCell ref="M73:P73"/>
    <mergeCell ref="Q73:T73"/>
    <mergeCell ref="V73:X73"/>
    <mergeCell ref="B67:Q67"/>
    <mergeCell ref="B69:O69"/>
    <mergeCell ref="M70:P70"/>
    <mergeCell ref="C71:L71"/>
    <mergeCell ref="M71:P71"/>
    <mergeCell ref="Q71:T71"/>
    <mergeCell ref="C65:L65"/>
    <mergeCell ref="M65:P65"/>
    <mergeCell ref="Q65:T65"/>
    <mergeCell ref="V65:X65"/>
    <mergeCell ref="C66:L66"/>
    <mergeCell ref="M66:P66"/>
    <mergeCell ref="Q66:T66"/>
    <mergeCell ref="V66:X66"/>
    <mergeCell ref="C63:L63"/>
    <mergeCell ref="M63:P63"/>
    <mergeCell ref="Q63:T63"/>
    <mergeCell ref="V63:X63"/>
    <mergeCell ref="C64:L64"/>
    <mergeCell ref="M64:P64"/>
    <mergeCell ref="Q64:T64"/>
    <mergeCell ref="V64:X64"/>
    <mergeCell ref="C61:L61"/>
    <mergeCell ref="M61:P61"/>
    <mergeCell ref="Q61:T61"/>
    <mergeCell ref="V61:X61"/>
    <mergeCell ref="C62:L62"/>
    <mergeCell ref="M62:P62"/>
    <mergeCell ref="Q62:T62"/>
    <mergeCell ref="V62:X62"/>
    <mergeCell ref="C59:L59"/>
    <mergeCell ref="M59:P59"/>
    <mergeCell ref="Q59:T59"/>
    <mergeCell ref="V59:X59"/>
    <mergeCell ref="C60:L60"/>
    <mergeCell ref="M60:P60"/>
    <mergeCell ref="Q60:T60"/>
    <mergeCell ref="V60:X60"/>
    <mergeCell ref="C57:L57"/>
    <mergeCell ref="M57:P57"/>
    <mergeCell ref="Q57:T57"/>
    <mergeCell ref="V57:X57"/>
    <mergeCell ref="C58:L58"/>
    <mergeCell ref="M58:P58"/>
    <mergeCell ref="Q58:T58"/>
    <mergeCell ref="V58:X58"/>
    <mergeCell ref="C55:L55"/>
    <mergeCell ref="M55:P55"/>
    <mergeCell ref="Q55:T55"/>
    <mergeCell ref="V55:X55"/>
    <mergeCell ref="C56:L56"/>
    <mergeCell ref="M56:P56"/>
    <mergeCell ref="Q56:T56"/>
    <mergeCell ref="V56:X56"/>
    <mergeCell ref="C53:L53"/>
    <mergeCell ref="M53:P53"/>
    <mergeCell ref="Q53:T53"/>
    <mergeCell ref="V53:X53"/>
    <mergeCell ref="C54:L54"/>
    <mergeCell ref="M54:P54"/>
    <mergeCell ref="Q54:T54"/>
    <mergeCell ref="V54:X54"/>
    <mergeCell ref="C51:L51"/>
    <mergeCell ref="M51:P51"/>
    <mergeCell ref="Q51:T51"/>
    <mergeCell ref="V51:X51"/>
    <mergeCell ref="C52:L52"/>
    <mergeCell ref="M52:P52"/>
    <mergeCell ref="Q52:T52"/>
    <mergeCell ref="V52:X52"/>
    <mergeCell ref="C49:L49"/>
    <mergeCell ref="M49:P49"/>
    <mergeCell ref="Q49:T49"/>
    <mergeCell ref="V49:X49"/>
    <mergeCell ref="C50:L50"/>
    <mergeCell ref="M50:P50"/>
    <mergeCell ref="Q50:T50"/>
    <mergeCell ref="V50:X50"/>
    <mergeCell ref="C47:L47"/>
    <mergeCell ref="M47:P47"/>
    <mergeCell ref="Q47:T47"/>
    <mergeCell ref="V47:X47"/>
    <mergeCell ref="C48:L48"/>
    <mergeCell ref="M48:P48"/>
    <mergeCell ref="Q48:T48"/>
    <mergeCell ref="V48:X48"/>
    <mergeCell ref="C45:L45"/>
    <mergeCell ref="M45:P45"/>
    <mergeCell ref="Q45:T45"/>
    <mergeCell ref="V45:X45"/>
    <mergeCell ref="C46:L46"/>
    <mergeCell ref="M46:P46"/>
    <mergeCell ref="Q46:T46"/>
    <mergeCell ref="V46:X46"/>
    <mergeCell ref="C43:L43"/>
    <mergeCell ref="M43:P43"/>
    <mergeCell ref="Q43:T43"/>
    <mergeCell ref="V43:X43"/>
    <mergeCell ref="C44:L44"/>
    <mergeCell ref="M44:P44"/>
    <mergeCell ref="Q44:T44"/>
    <mergeCell ref="V44:X44"/>
    <mergeCell ref="C41:L41"/>
    <mergeCell ref="M41:P41"/>
    <mergeCell ref="Q41:T41"/>
    <mergeCell ref="V41:X41"/>
    <mergeCell ref="C42:L42"/>
    <mergeCell ref="M42:P42"/>
    <mergeCell ref="Q42:T42"/>
    <mergeCell ref="V42:X42"/>
    <mergeCell ref="C39:L39"/>
    <mergeCell ref="M39:P39"/>
    <mergeCell ref="Q39:T39"/>
    <mergeCell ref="V39:X39"/>
    <mergeCell ref="C40:L40"/>
    <mergeCell ref="M40:P40"/>
    <mergeCell ref="Q40:T40"/>
    <mergeCell ref="V40:X40"/>
    <mergeCell ref="C37:L37"/>
    <mergeCell ref="M37:P37"/>
    <mergeCell ref="Q37:T37"/>
    <mergeCell ref="V37:X37"/>
    <mergeCell ref="C38:L38"/>
    <mergeCell ref="M38:P38"/>
    <mergeCell ref="Q38:T38"/>
    <mergeCell ref="V38:X38"/>
    <mergeCell ref="C35:L35"/>
    <mergeCell ref="M35:P35"/>
    <mergeCell ref="Q35:T35"/>
    <mergeCell ref="V35:X35"/>
    <mergeCell ref="C36:L36"/>
    <mergeCell ref="M36:P36"/>
    <mergeCell ref="Q36:T36"/>
    <mergeCell ref="V36:X36"/>
    <mergeCell ref="C33:L33"/>
    <mergeCell ref="M33:P33"/>
    <mergeCell ref="Q33:T33"/>
    <mergeCell ref="V33:X33"/>
    <mergeCell ref="C34:L34"/>
    <mergeCell ref="M34:P34"/>
    <mergeCell ref="Q34:T34"/>
    <mergeCell ref="V34:X34"/>
    <mergeCell ref="C31:L31"/>
    <mergeCell ref="M31:P31"/>
    <mergeCell ref="Q31:T31"/>
    <mergeCell ref="V31:X31"/>
    <mergeCell ref="C32:L32"/>
    <mergeCell ref="M32:P32"/>
    <mergeCell ref="Q32:T32"/>
    <mergeCell ref="V32:X32"/>
    <mergeCell ref="C29:L29"/>
    <mergeCell ref="M29:P29"/>
    <mergeCell ref="Q29:T29"/>
    <mergeCell ref="V29:X29"/>
    <mergeCell ref="C30:L30"/>
    <mergeCell ref="M30:P30"/>
    <mergeCell ref="Q30:T30"/>
    <mergeCell ref="V30:X30"/>
    <mergeCell ref="C27:L27"/>
    <mergeCell ref="M27:P27"/>
    <mergeCell ref="Q27:T27"/>
    <mergeCell ref="V27:X27"/>
    <mergeCell ref="C28:L28"/>
    <mergeCell ref="M28:P28"/>
    <mergeCell ref="Q28:T28"/>
    <mergeCell ref="V28:X28"/>
    <mergeCell ref="C25:L25"/>
    <mergeCell ref="M25:P25"/>
    <mergeCell ref="Q25:T25"/>
    <mergeCell ref="V25:X25"/>
    <mergeCell ref="C26:L26"/>
    <mergeCell ref="M26:P26"/>
    <mergeCell ref="Q26:T26"/>
    <mergeCell ref="V26:X26"/>
    <mergeCell ref="C23:L23"/>
    <mergeCell ref="M23:P23"/>
    <mergeCell ref="Q23:T23"/>
    <mergeCell ref="V23:X23"/>
    <mergeCell ref="C24:L24"/>
    <mergeCell ref="M24:P24"/>
    <mergeCell ref="Q24:T24"/>
    <mergeCell ref="V24:X24"/>
    <mergeCell ref="M21:P21"/>
    <mergeCell ref="V21:W21"/>
    <mergeCell ref="C22:L22"/>
    <mergeCell ref="M22:P22"/>
    <mergeCell ref="Q22:T22"/>
    <mergeCell ref="V22:X22"/>
    <mergeCell ref="C19:L19"/>
    <mergeCell ref="M19:P19"/>
    <mergeCell ref="Q19:T19"/>
    <mergeCell ref="V19:X19"/>
    <mergeCell ref="C20:L20"/>
    <mergeCell ref="M20:P20"/>
    <mergeCell ref="Q20:T20"/>
    <mergeCell ref="V20:X20"/>
    <mergeCell ref="C17:L17"/>
    <mergeCell ref="M17:P17"/>
    <mergeCell ref="Q17:T17"/>
    <mergeCell ref="V17:X17"/>
    <mergeCell ref="C18:L18"/>
    <mergeCell ref="M18:P18"/>
    <mergeCell ref="Q18:T18"/>
    <mergeCell ref="V18:X18"/>
    <mergeCell ref="C15:L15"/>
    <mergeCell ref="M15:P15"/>
    <mergeCell ref="Q15:T15"/>
    <mergeCell ref="V15:X15"/>
    <mergeCell ref="C16:L16"/>
    <mergeCell ref="M16:P16"/>
    <mergeCell ref="Q16:T16"/>
    <mergeCell ref="V16:X16"/>
    <mergeCell ref="C13:L13"/>
    <mergeCell ref="M13:P13"/>
    <mergeCell ref="Q13:T13"/>
    <mergeCell ref="V13:X13"/>
    <mergeCell ref="C14:L14"/>
    <mergeCell ref="M14:P14"/>
    <mergeCell ref="Q14:T14"/>
    <mergeCell ref="V14:X14"/>
    <mergeCell ref="C11:L11"/>
    <mergeCell ref="M11:P11"/>
    <mergeCell ref="Q11:T11"/>
    <mergeCell ref="V11:X11"/>
    <mergeCell ref="C12:L12"/>
    <mergeCell ref="M12:P12"/>
    <mergeCell ref="Q12:T12"/>
    <mergeCell ref="V12:X12"/>
    <mergeCell ref="C10:L10"/>
    <mergeCell ref="M10:P10"/>
    <mergeCell ref="Q10:T10"/>
    <mergeCell ref="V10:X10"/>
    <mergeCell ref="C7:L7"/>
    <mergeCell ref="M7:P7"/>
    <mergeCell ref="Q7:T7"/>
    <mergeCell ref="V7:X7"/>
    <mergeCell ref="C8:L8"/>
    <mergeCell ref="M8:P8"/>
    <mergeCell ref="Q8:T8"/>
    <mergeCell ref="V8:X8"/>
    <mergeCell ref="B1:AB1"/>
    <mergeCell ref="B3:N3"/>
    <mergeCell ref="M5:P5"/>
    <mergeCell ref="C6:L6"/>
    <mergeCell ref="M6:P6"/>
    <mergeCell ref="Q6:T6"/>
    <mergeCell ref="V6:X6"/>
    <mergeCell ref="C9:L9"/>
    <mergeCell ref="M9:P9"/>
    <mergeCell ref="Q9:R9"/>
    <mergeCell ref="V9:X9"/>
  </mergeCells>
  <pageMargins left="0.7" right="0.7" top="0.78740157499999996" bottom="0.78740157499999996" header="0.3" footer="0.3"/>
  <pageSetup paperSize="9" orientation="portrait" r:id="rId1"/>
  <headerFooter>
    <oddHeader>&amp;LPříloha č. 2&amp;CZávěrečný účet Plzeňského kraje za rok 2010</oddHeader>
    <oddFooter>&amp;LKrajský úřad Plzeňského kraje
Odbor ekonomický&amp;C&amp;P&amp;R&amp;D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72"/>
  <sheetViews>
    <sheetView topLeftCell="A26" zoomScaleNormal="100" workbookViewId="0">
      <selection activeCell="B42" sqref="B42"/>
    </sheetView>
  </sheetViews>
  <sheetFormatPr defaultRowHeight="13.2"/>
  <cols>
    <col min="1" max="1" width="75.88671875" style="433" customWidth="1"/>
    <col min="2" max="2" width="16.88671875" style="433" customWidth="1"/>
    <col min="3" max="3" width="15" style="433" customWidth="1"/>
    <col min="4" max="4" width="25.109375" style="433" customWidth="1"/>
    <col min="5" max="256" width="9.109375" style="433"/>
    <col min="257" max="257" width="75.88671875" style="433" customWidth="1"/>
    <col min="258" max="258" width="16.88671875" style="433" customWidth="1"/>
    <col min="259" max="259" width="15" style="433" customWidth="1"/>
    <col min="260" max="260" width="25.109375" style="433" customWidth="1"/>
    <col min="261" max="512" width="9.109375" style="433"/>
    <col min="513" max="513" width="75.88671875" style="433" customWidth="1"/>
    <col min="514" max="514" width="16.88671875" style="433" customWidth="1"/>
    <col min="515" max="515" width="15" style="433" customWidth="1"/>
    <col min="516" max="516" width="25.109375" style="433" customWidth="1"/>
    <col min="517" max="768" width="9.109375" style="433"/>
    <col min="769" max="769" width="75.88671875" style="433" customWidth="1"/>
    <col min="770" max="770" width="16.88671875" style="433" customWidth="1"/>
    <col min="771" max="771" width="15" style="433" customWidth="1"/>
    <col min="772" max="772" width="25.109375" style="433" customWidth="1"/>
    <col min="773" max="1024" width="9.109375" style="433"/>
    <col min="1025" max="1025" width="75.88671875" style="433" customWidth="1"/>
    <col min="1026" max="1026" width="16.88671875" style="433" customWidth="1"/>
    <col min="1027" max="1027" width="15" style="433" customWidth="1"/>
    <col min="1028" max="1028" width="25.109375" style="433" customWidth="1"/>
    <col min="1029" max="1280" width="9.109375" style="433"/>
    <col min="1281" max="1281" width="75.88671875" style="433" customWidth="1"/>
    <col min="1282" max="1282" width="16.88671875" style="433" customWidth="1"/>
    <col min="1283" max="1283" width="15" style="433" customWidth="1"/>
    <col min="1284" max="1284" width="25.109375" style="433" customWidth="1"/>
    <col min="1285" max="1536" width="9.109375" style="433"/>
    <col min="1537" max="1537" width="75.88671875" style="433" customWidth="1"/>
    <col min="1538" max="1538" width="16.88671875" style="433" customWidth="1"/>
    <col min="1539" max="1539" width="15" style="433" customWidth="1"/>
    <col min="1540" max="1540" width="25.109375" style="433" customWidth="1"/>
    <col min="1541" max="1792" width="9.109375" style="433"/>
    <col min="1793" max="1793" width="75.88671875" style="433" customWidth="1"/>
    <col min="1794" max="1794" width="16.88671875" style="433" customWidth="1"/>
    <col min="1795" max="1795" width="15" style="433" customWidth="1"/>
    <col min="1796" max="1796" width="25.109375" style="433" customWidth="1"/>
    <col min="1797" max="2048" width="9.109375" style="433"/>
    <col min="2049" max="2049" width="75.88671875" style="433" customWidth="1"/>
    <col min="2050" max="2050" width="16.88671875" style="433" customWidth="1"/>
    <col min="2051" max="2051" width="15" style="433" customWidth="1"/>
    <col min="2052" max="2052" width="25.109375" style="433" customWidth="1"/>
    <col min="2053" max="2304" width="9.109375" style="433"/>
    <col min="2305" max="2305" width="75.88671875" style="433" customWidth="1"/>
    <col min="2306" max="2306" width="16.88671875" style="433" customWidth="1"/>
    <col min="2307" max="2307" width="15" style="433" customWidth="1"/>
    <col min="2308" max="2308" width="25.109375" style="433" customWidth="1"/>
    <col min="2309" max="2560" width="9.109375" style="433"/>
    <col min="2561" max="2561" width="75.88671875" style="433" customWidth="1"/>
    <col min="2562" max="2562" width="16.88671875" style="433" customWidth="1"/>
    <col min="2563" max="2563" width="15" style="433" customWidth="1"/>
    <col min="2564" max="2564" width="25.109375" style="433" customWidth="1"/>
    <col min="2565" max="2816" width="9.109375" style="433"/>
    <col min="2817" max="2817" width="75.88671875" style="433" customWidth="1"/>
    <col min="2818" max="2818" width="16.88671875" style="433" customWidth="1"/>
    <col min="2819" max="2819" width="15" style="433" customWidth="1"/>
    <col min="2820" max="2820" width="25.109375" style="433" customWidth="1"/>
    <col min="2821" max="3072" width="9.109375" style="433"/>
    <col min="3073" max="3073" width="75.88671875" style="433" customWidth="1"/>
    <col min="3074" max="3074" width="16.88671875" style="433" customWidth="1"/>
    <col min="3075" max="3075" width="15" style="433" customWidth="1"/>
    <col min="3076" max="3076" width="25.109375" style="433" customWidth="1"/>
    <col min="3077" max="3328" width="9.109375" style="433"/>
    <col min="3329" max="3329" width="75.88671875" style="433" customWidth="1"/>
    <col min="3330" max="3330" width="16.88671875" style="433" customWidth="1"/>
    <col min="3331" max="3331" width="15" style="433" customWidth="1"/>
    <col min="3332" max="3332" width="25.109375" style="433" customWidth="1"/>
    <col min="3333" max="3584" width="9.109375" style="433"/>
    <col min="3585" max="3585" width="75.88671875" style="433" customWidth="1"/>
    <col min="3586" max="3586" width="16.88671875" style="433" customWidth="1"/>
    <col min="3587" max="3587" width="15" style="433" customWidth="1"/>
    <col min="3588" max="3588" width="25.109375" style="433" customWidth="1"/>
    <col min="3589" max="3840" width="9.109375" style="433"/>
    <col min="3841" max="3841" width="75.88671875" style="433" customWidth="1"/>
    <col min="3842" max="3842" width="16.88671875" style="433" customWidth="1"/>
    <col min="3843" max="3843" width="15" style="433" customWidth="1"/>
    <col min="3844" max="3844" width="25.109375" style="433" customWidth="1"/>
    <col min="3845" max="4096" width="9.109375" style="433"/>
    <col min="4097" max="4097" width="75.88671875" style="433" customWidth="1"/>
    <col min="4098" max="4098" width="16.88671875" style="433" customWidth="1"/>
    <col min="4099" max="4099" width="15" style="433" customWidth="1"/>
    <col min="4100" max="4100" width="25.109375" style="433" customWidth="1"/>
    <col min="4101" max="4352" width="9.109375" style="433"/>
    <col min="4353" max="4353" width="75.88671875" style="433" customWidth="1"/>
    <col min="4354" max="4354" width="16.88671875" style="433" customWidth="1"/>
    <col min="4355" max="4355" width="15" style="433" customWidth="1"/>
    <col min="4356" max="4356" width="25.109375" style="433" customWidth="1"/>
    <col min="4357" max="4608" width="9.109375" style="433"/>
    <col min="4609" max="4609" width="75.88671875" style="433" customWidth="1"/>
    <col min="4610" max="4610" width="16.88671875" style="433" customWidth="1"/>
    <col min="4611" max="4611" width="15" style="433" customWidth="1"/>
    <col min="4612" max="4612" width="25.109375" style="433" customWidth="1"/>
    <col min="4613" max="4864" width="9.109375" style="433"/>
    <col min="4865" max="4865" width="75.88671875" style="433" customWidth="1"/>
    <col min="4866" max="4866" width="16.88671875" style="433" customWidth="1"/>
    <col min="4867" max="4867" width="15" style="433" customWidth="1"/>
    <col min="4868" max="4868" width="25.109375" style="433" customWidth="1"/>
    <col min="4869" max="5120" width="9.109375" style="433"/>
    <col min="5121" max="5121" width="75.88671875" style="433" customWidth="1"/>
    <col min="5122" max="5122" width="16.88671875" style="433" customWidth="1"/>
    <col min="5123" max="5123" width="15" style="433" customWidth="1"/>
    <col min="5124" max="5124" width="25.109375" style="433" customWidth="1"/>
    <col min="5125" max="5376" width="9.109375" style="433"/>
    <col min="5377" max="5377" width="75.88671875" style="433" customWidth="1"/>
    <col min="5378" max="5378" width="16.88671875" style="433" customWidth="1"/>
    <col min="5379" max="5379" width="15" style="433" customWidth="1"/>
    <col min="5380" max="5380" width="25.109375" style="433" customWidth="1"/>
    <col min="5381" max="5632" width="9.109375" style="433"/>
    <col min="5633" max="5633" width="75.88671875" style="433" customWidth="1"/>
    <col min="5634" max="5634" width="16.88671875" style="433" customWidth="1"/>
    <col min="5635" max="5635" width="15" style="433" customWidth="1"/>
    <col min="5636" max="5636" width="25.109375" style="433" customWidth="1"/>
    <col min="5637" max="5888" width="9.109375" style="433"/>
    <col min="5889" max="5889" width="75.88671875" style="433" customWidth="1"/>
    <col min="5890" max="5890" width="16.88671875" style="433" customWidth="1"/>
    <col min="5891" max="5891" width="15" style="433" customWidth="1"/>
    <col min="5892" max="5892" width="25.109375" style="433" customWidth="1"/>
    <col min="5893" max="6144" width="9.109375" style="433"/>
    <col min="6145" max="6145" width="75.88671875" style="433" customWidth="1"/>
    <col min="6146" max="6146" width="16.88671875" style="433" customWidth="1"/>
    <col min="6147" max="6147" width="15" style="433" customWidth="1"/>
    <col min="6148" max="6148" width="25.109375" style="433" customWidth="1"/>
    <col min="6149" max="6400" width="9.109375" style="433"/>
    <col min="6401" max="6401" width="75.88671875" style="433" customWidth="1"/>
    <col min="6402" max="6402" width="16.88671875" style="433" customWidth="1"/>
    <col min="6403" max="6403" width="15" style="433" customWidth="1"/>
    <col min="6404" max="6404" width="25.109375" style="433" customWidth="1"/>
    <col min="6405" max="6656" width="9.109375" style="433"/>
    <col min="6657" max="6657" width="75.88671875" style="433" customWidth="1"/>
    <col min="6658" max="6658" width="16.88671875" style="433" customWidth="1"/>
    <col min="6659" max="6659" width="15" style="433" customWidth="1"/>
    <col min="6660" max="6660" width="25.109375" style="433" customWidth="1"/>
    <col min="6661" max="6912" width="9.109375" style="433"/>
    <col min="6913" max="6913" width="75.88671875" style="433" customWidth="1"/>
    <col min="6914" max="6914" width="16.88671875" style="433" customWidth="1"/>
    <col min="6915" max="6915" width="15" style="433" customWidth="1"/>
    <col min="6916" max="6916" width="25.109375" style="433" customWidth="1"/>
    <col min="6917" max="7168" width="9.109375" style="433"/>
    <col min="7169" max="7169" width="75.88671875" style="433" customWidth="1"/>
    <col min="7170" max="7170" width="16.88671875" style="433" customWidth="1"/>
    <col min="7171" max="7171" width="15" style="433" customWidth="1"/>
    <col min="7172" max="7172" width="25.109375" style="433" customWidth="1"/>
    <col min="7173" max="7424" width="9.109375" style="433"/>
    <col min="7425" max="7425" width="75.88671875" style="433" customWidth="1"/>
    <col min="7426" max="7426" width="16.88671875" style="433" customWidth="1"/>
    <col min="7427" max="7427" width="15" style="433" customWidth="1"/>
    <col min="7428" max="7428" width="25.109375" style="433" customWidth="1"/>
    <col min="7429" max="7680" width="9.109375" style="433"/>
    <col min="7681" max="7681" width="75.88671875" style="433" customWidth="1"/>
    <col min="7682" max="7682" width="16.88671875" style="433" customWidth="1"/>
    <col min="7683" max="7683" width="15" style="433" customWidth="1"/>
    <col min="7684" max="7684" width="25.109375" style="433" customWidth="1"/>
    <col min="7685" max="7936" width="9.109375" style="433"/>
    <col min="7937" max="7937" width="75.88671875" style="433" customWidth="1"/>
    <col min="7938" max="7938" width="16.88671875" style="433" customWidth="1"/>
    <col min="7939" max="7939" width="15" style="433" customWidth="1"/>
    <col min="7940" max="7940" width="25.109375" style="433" customWidth="1"/>
    <col min="7941" max="8192" width="9.109375" style="433"/>
    <col min="8193" max="8193" width="75.88671875" style="433" customWidth="1"/>
    <col min="8194" max="8194" width="16.88671875" style="433" customWidth="1"/>
    <col min="8195" max="8195" width="15" style="433" customWidth="1"/>
    <col min="8196" max="8196" width="25.109375" style="433" customWidth="1"/>
    <col min="8197" max="8448" width="9.109375" style="433"/>
    <col min="8449" max="8449" width="75.88671875" style="433" customWidth="1"/>
    <col min="8450" max="8450" width="16.88671875" style="433" customWidth="1"/>
    <col min="8451" max="8451" width="15" style="433" customWidth="1"/>
    <col min="8452" max="8452" width="25.109375" style="433" customWidth="1"/>
    <col min="8453" max="8704" width="9.109375" style="433"/>
    <col min="8705" max="8705" width="75.88671875" style="433" customWidth="1"/>
    <col min="8706" max="8706" width="16.88671875" style="433" customWidth="1"/>
    <col min="8707" max="8707" width="15" style="433" customWidth="1"/>
    <col min="8708" max="8708" width="25.109375" style="433" customWidth="1"/>
    <col min="8709" max="8960" width="9.109375" style="433"/>
    <col min="8961" max="8961" width="75.88671875" style="433" customWidth="1"/>
    <col min="8962" max="8962" width="16.88671875" style="433" customWidth="1"/>
    <col min="8963" max="8963" width="15" style="433" customWidth="1"/>
    <col min="8964" max="8964" width="25.109375" style="433" customWidth="1"/>
    <col min="8965" max="9216" width="9.109375" style="433"/>
    <col min="9217" max="9217" width="75.88671875" style="433" customWidth="1"/>
    <col min="9218" max="9218" width="16.88671875" style="433" customWidth="1"/>
    <col min="9219" max="9219" width="15" style="433" customWidth="1"/>
    <col min="9220" max="9220" width="25.109375" style="433" customWidth="1"/>
    <col min="9221" max="9472" width="9.109375" style="433"/>
    <col min="9473" max="9473" width="75.88671875" style="433" customWidth="1"/>
    <col min="9474" max="9474" width="16.88671875" style="433" customWidth="1"/>
    <col min="9475" max="9475" width="15" style="433" customWidth="1"/>
    <col min="9476" max="9476" width="25.109375" style="433" customWidth="1"/>
    <col min="9477" max="9728" width="9.109375" style="433"/>
    <col min="9729" max="9729" width="75.88671875" style="433" customWidth="1"/>
    <col min="9730" max="9730" width="16.88671875" style="433" customWidth="1"/>
    <col min="9731" max="9731" width="15" style="433" customWidth="1"/>
    <col min="9732" max="9732" width="25.109375" style="433" customWidth="1"/>
    <col min="9733" max="9984" width="9.109375" style="433"/>
    <col min="9985" max="9985" width="75.88671875" style="433" customWidth="1"/>
    <col min="9986" max="9986" width="16.88671875" style="433" customWidth="1"/>
    <col min="9987" max="9987" width="15" style="433" customWidth="1"/>
    <col min="9988" max="9988" width="25.109375" style="433" customWidth="1"/>
    <col min="9989" max="10240" width="9.109375" style="433"/>
    <col min="10241" max="10241" width="75.88671875" style="433" customWidth="1"/>
    <col min="10242" max="10242" width="16.88671875" style="433" customWidth="1"/>
    <col min="10243" max="10243" width="15" style="433" customWidth="1"/>
    <col min="10244" max="10244" width="25.109375" style="433" customWidth="1"/>
    <col min="10245" max="10496" width="9.109375" style="433"/>
    <col min="10497" max="10497" width="75.88671875" style="433" customWidth="1"/>
    <col min="10498" max="10498" width="16.88671875" style="433" customWidth="1"/>
    <col min="10499" max="10499" width="15" style="433" customWidth="1"/>
    <col min="10500" max="10500" width="25.109375" style="433" customWidth="1"/>
    <col min="10501" max="10752" width="9.109375" style="433"/>
    <col min="10753" max="10753" width="75.88671875" style="433" customWidth="1"/>
    <col min="10754" max="10754" width="16.88671875" style="433" customWidth="1"/>
    <col min="10755" max="10755" width="15" style="433" customWidth="1"/>
    <col min="10756" max="10756" width="25.109375" style="433" customWidth="1"/>
    <col min="10757" max="11008" width="9.109375" style="433"/>
    <col min="11009" max="11009" width="75.88671875" style="433" customWidth="1"/>
    <col min="11010" max="11010" width="16.88671875" style="433" customWidth="1"/>
    <col min="11011" max="11011" width="15" style="433" customWidth="1"/>
    <col min="11012" max="11012" width="25.109375" style="433" customWidth="1"/>
    <col min="11013" max="11264" width="9.109375" style="433"/>
    <col min="11265" max="11265" width="75.88671875" style="433" customWidth="1"/>
    <col min="11266" max="11266" width="16.88671875" style="433" customWidth="1"/>
    <col min="11267" max="11267" width="15" style="433" customWidth="1"/>
    <col min="11268" max="11268" width="25.109375" style="433" customWidth="1"/>
    <col min="11269" max="11520" width="9.109375" style="433"/>
    <col min="11521" max="11521" width="75.88671875" style="433" customWidth="1"/>
    <col min="11522" max="11522" width="16.88671875" style="433" customWidth="1"/>
    <col min="11523" max="11523" width="15" style="433" customWidth="1"/>
    <col min="11524" max="11524" width="25.109375" style="433" customWidth="1"/>
    <col min="11525" max="11776" width="9.109375" style="433"/>
    <col min="11777" max="11777" width="75.88671875" style="433" customWidth="1"/>
    <col min="11778" max="11778" width="16.88671875" style="433" customWidth="1"/>
    <col min="11779" max="11779" width="15" style="433" customWidth="1"/>
    <col min="11780" max="11780" width="25.109375" style="433" customWidth="1"/>
    <col min="11781" max="12032" width="9.109375" style="433"/>
    <col min="12033" max="12033" width="75.88671875" style="433" customWidth="1"/>
    <col min="12034" max="12034" width="16.88671875" style="433" customWidth="1"/>
    <col min="12035" max="12035" width="15" style="433" customWidth="1"/>
    <col min="12036" max="12036" width="25.109375" style="433" customWidth="1"/>
    <col min="12037" max="12288" width="9.109375" style="433"/>
    <col min="12289" max="12289" width="75.88671875" style="433" customWidth="1"/>
    <col min="12290" max="12290" width="16.88671875" style="433" customWidth="1"/>
    <col min="12291" max="12291" width="15" style="433" customWidth="1"/>
    <col min="12292" max="12292" width="25.109375" style="433" customWidth="1"/>
    <col min="12293" max="12544" width="9.109375" style="433"/>
    <col min="12545" max="12545" width="75.88671875" style="433" customWidth="1"/>
    <col min="12546" max="12546" width="16.88671875" style="433" customWidth="1"/>
    <col min="12547" max="12547" width="15" style="433" customWidth="1"/>
    <col min="12548" max="12548" width="25.109375" style="433" customWidth="1"/>
    <col min="12549" max="12800" width="9.109375" style="433"/>
    <col min="12801" max="12801" width="75.88671875" style="433" customWidth="1"/>
    <col min="12802" max="12802" width="16.88671875" style="433" customWidth="1"/>
    <col min="12803" max="12803" width="15" style="433" customWidth="1"/>
    <col min="12804" max="12804" width="25.109375" style="433" customWidth="1"/>
    <col min="12805" max="13056" width="9.109375" style="433"/>
    <col min="13057" max="13057" width="75.88671875" style="433" customWidth="1"/>
    <col min="13058" max="13058" width="16.88671875" style="433" customWidth="1"/>
    <col min="13059" max="13059" width="15" style="433" customWidth="1"/>
    <col min="13060" max="13060" width="25.109375" style="433" customWidth="1"/>
    <col min="13061" max="13312" width="9.109375" style="433"/>
    <col min="13313" max="13313" width="75.88671875" style="433" customWidth="1"/>
    <col min="13314" max="13314" width="16.88671875" style="433" customWidth="1"/>
    <col min="13315" max="13315" width="15" style="433" customWidth="1"/>
    <col min="13316" max="13316" width="25.109375" style="433" customWidth="1"/>
    <col min="13317" max="13568" width="9.109375" style="433"/>
    <col min="13569" max="13569" width="75.88671875" style="433" customWidth="1"/>
    <col min="13570" max="13570" width="16.88671875" style="433" customWidth="1"/>
    <col min="13571" max="13571" width="15" style="433" customWidth="1"/>
    <col min="13572" max="13572" width="25.109375" style="433" customWidth="1"/>
    <col min="13573" max="13824" width="9.109375" style="433"/>
    <col min="13825" max="13825" width="75.88671875" style="433" customWidth="1"/>
    <col min="13826" max="13826" width="16.88671875" style="433" customWidth="1"/>
    <col min="13827" max="13827" width="15" style="433" customWidth="1"/>
    <col min="13828" max="13828" width="25.109375" style="433" customWidth="1"/>
    <col min="13829" max="14080" width="9.109375" style="433"/>
    <col min="14081" max="14081" width="75.88671875" style="433" customWidth="1"/>
    <col min="14082" max="14082" width="16.88671875" style="433" customWidth="1"/>
    <col min="14083" max="14083" width="15" style="433" customWidth="1"/>
    <col min="14084" max="14084" width="25.109375" style="433" customWidth="1"/>
    <col min="14085" max="14336" width="9.109375" style="433"/>
    <col min="14337" max="14337" width="75.88671875" style="433" customWidth="1"/>
    <col min="14338" max="14338" width="16.88671875" style="433" customWidth="1"/>
    <col min="14339" max="14339" width="15" style="433" customWidth="1"/>
    <col min="14340" max="14340" width="25.109375" style="433" customWidth="1"/>
    <col min="14341" max="14592" width="9.109375" style="433"/>
    <col min="14593" max="14593" width="75.88671875" style="433" customWidth="1"/>
    <col min="14594" max="14594" width="16.88671875" style="433" customWidth="1"/>
    <col min="14595" max="14595" width="15" style="433" customWidth="1"/>
    <col min="14596" max="14596" width="25.109375" style="433" customWidth="1"/>
    <col min="14597" max="14848" width="9.109375" style="433"/>
    <col min="14849" max="14849" width="75.88671875" style="433" customWidth="1"/>
    <col min="14850" max="14850" width="16.88671875" style="433" customWidth="1"/>
    <col min="14851" max="14851" width="15" style="433" customWidth="1"/>
    <col min="14852" max="14852" width="25.109375" style="433" customWidth="1"/>
    <col min="14853" max="15104" width="9.109375" style="433"/>
    <col min="15105" max="15105" width="75.88671875" style="433" customWidth="1"/>
    <col min="15106" max="15106" width="16.88671875" style="433" customWidth="1"/>
    <col min="15107" max="15107" width="15" style="433" customWidth="1"/>
    <col min="15108" max="15108" width="25.109375" style="433" customWidth="1"/>
    <col min="15109" max="15360" width="9.109375" style="433"/>
    <col min="15361" max="15361" width="75.88671875" style="433" customWidth="1"/>
    <col min="15362" max="15362" width="16.88671875" style="433" customWidth="1"/>
    <col min="15363" max="15363" width="15" style="433" customWidth="1"/>
    <col min="15364" max="15364" width="25.109375" style="433" customWidth="1"/>
    <col min="15365" max="15616" width="9.109375" style="433"/>
    <col min="15617" max="15617" width="75.88671875" style="433" customWidth="1"/>
    <col min="15618" max="15618" width="16.88671875" style="433" customWidth="1"/>
    <col min="15619" max="15619" width="15" style="433" customWidth="1"/>
    <col min="15620" max="15620" width="25.109375" style="433" customWidth="1"/>
    <col min="15621" max="15872" width="9.109375" style="433"/>
    <col min="15873" max="15873" width="75.88671875" style="433" customWidth="1"/>
    <col min="15874" max="15874" width="16.88671875" style="433" customWidth="1"/>
    <col min="15875" max="15875" width="15" style="433" customWidth="1"/>
    <col min="15876" max="15876" width="25.109375" style="433" customWidth="1"/>
    <col min="15877" max="16128" width="9.109375" style="433"/>
    <col min="16129" max="16129" width="75.88671875" style="433" customWidth="1"/>
    <col min="16130" max="16130" width="16.88671875" style="433" customWidth="1"/>
    <col min="16131" max="16131" width="15" style="433" customWidth="1"/>
    <col min="16132" max="16132" width="25.109375" style="433" customWidth="1"/>
    <col min="16133" max="16384" width="9.109375" style="433"/>
  </cols>
  <sheetData>
    <row r="1" spans="1:4" ht="20.25" customHeight="1">
      <c r="A1" s="1173" t="s">
        <v>3526</v>
      </c>
      <c r="B1" s="1173"/>
      <c r="C1" s="1173"/>
      <c r="D1" s="1173"/>
    </row>
    <row r="2" spans="1:4" ht="13.5" customHeight="1" thickBot="1">
      <c r="A2" s="1174"/>
      <c r="B2" s="1174"/>
      <c r="C2" s="1174"/>
      <c r="D2" s="1174"/>
    </row>
    <row r="3" spans="1:4" ht="29.25" customHeight="1" thickBot="1">
      <c r="A3" s="516" t="s">
        <v>1216</v>
      </c>
      <c r="B3" s="516" t="s">
        <v>3527</v>
      </c>
      <c r="C3" s="516" t="s">
        <v>3528</v>
      </c>
      <c r="D3" s="516" t="s">
        <v>8</v>
      </c>
    </row>
    <row r="4" spans="1:4" ht="24.9" customHeight="1">
      <c r="A4" s="517" t="s">
        <v>3529</v>
      </c>
      <c r="B4" s="518">
        <v>71743103.540000007</v>
      </c>
      <c r="C4" s="519" t="s">
        <v>3530</v>
      </c>
      <c r="D4" s="520" t="s">
        <v>3530</v>
      </c>
    </row>
    <row r="5" spans="1:4" ht="24.9" customHeight="1">
      <c r="A5" s="521" t="s">
        <v>3531</v>
      </c>
      <c r="B5" s="522">
        <v>411287630.37</v>
      </c>
      <c r="C5" s="523" t="s">
        <v>3530</v>
      </c>
      <c r="D5" s="524" t="s">
        <v>3532</v>
      </c>
    </row>
    <row r="6" spans="1:4" ht="24.9" customHeight="1">
      <c r="A6" s="521" t="s">
        <v>3533</v>
      </c>
      <c r="B6" s="522">
        <v>71018725.319999993</v>
      </c>
      <c r="C6" s="523" t="s">
        <v>3530</v>
      </c>
      <c r="D6" s="1175" t="s">
        <v>3534</v>
      </c>
    </row>
    <row r="7" spans="1:4" ht="24.9" customHeight="1">
      <c r="A7" s="521" t="s">
        <v>3535</v>
      </c>
      <c r="B7" s="522">
        <v>4838926.83</v>
      </c>
      <c r="C7" s="523" t="s">
        <v>3530</v>
      </c>
      <c r="D7" s="1176"/>
    </row>
    <row r="8" spans="1:4" ht="24.9" customHeight="1">
      <c r="A8" s="525" t="s">
        <v>3536</v>
      </c>
      <c r="B8" s="526">
        <v>100000</v>
      </c>
      <c r="C8" s="523" t="s">
        <v>3530</v>
      </c>
      <c r="D8" s="1176"/>
    </row>
    <row r="9" spans="1:4" ht="24.9" customHeight="1">
      <c r="A9" s="525" t="s">
        <v>3537</v>
      </c>
      <c r="B9" s="526">
        <v>77692053.25</v>
      </c>
      <c r="C9" s="523" t="s">
        <v>3530</v>
      </c>
      <c r="D9" s="1176"/>
    </row>
    <row r="10" spans="1:4" ht="24.9" customHeight="1">
      <c r="A10" s="525" t="s">
        <v>3538</v>
      </c>
      <c r="B10" s="526">
        <v>4318600.34</v>
      </c>
      <c r="C10" s="523" t="s">
        <v>3530</v>
      </c>
      <c r="D10" s="1176"/>
    </row>
    <row r="11" spans="1:4" ht="24.9" customHeight="1">
      <c r="A11" s="527" t="s">
        <v>3539</v>
      </c>
      <c r="B11" s="528">
        <v>2148770.21</v>
      </c>
      <c r="C11" s="523" t="s">
        <v>3530</v>
      </c>
      <c r="D11" s="1176"/>
    </row>
    <row r="12" spans="1:4" ht="24.9" customHeight="1">
      <c r="A12" s="527" t="s">
        <v>3540</v>
      </c>
      <c r="B12" s="523" t="s">
        <v>3530</v>
      </c>
      <c r="C12" s="528">
        <v>136740229.25</v>
      </c>
      <c r="D12" s="1176"/>
    </row>
    <row r="13" spans="1:4" ht="24.9" customHeight="1">
      <c r="A13" s="527" t="s">
        <v>3541</v>
      </c>
      <c r="B13" s="523" t="s">
        <v>3530</v>
      </c>
      <c r="C13" s="528">
        <v>22511416.309999999</v>
      </c>
      <c r="D13" s="1176"/>
    </row>
    <row r="14" spans="1:4" ht="24.9" customHeight="1">
      <c r="A14" s="527" t="s">
        <v>3542</v>
      </c>
      <c r="B14" s="523" t="s">
        <v>3530</v>
      </c>
      <c r="C14" s="528">
        <v>903550</v>
      </c>
      <c r="D14" s="1176"/>
    </row>
    <row r="15" spans="1:4" ht="24.9" customHeight="1">
      <c r="A15" s="527" t="s">
        <v>3543</v>
      </c>
      <c r="B15" s="523" t="s">
        <v>3530</v>
      </c>
      <c r="C15" s="528">
        <v>15925000</v>
      </c>
      <c r="D15" s="1176"/>
    </row>
    <row r="16" spans="1:4" ht="24.9" customHeight="1">
      <c r="A16" s="527" t="s">
        <v>3544</v>
      </c>
      <c r="B16" s="523" t="s">
        <v>3530</v>
      </c>
      <c r="C16" s="528">
        <v>2946274</v>
      </c>
      <c r="D16" s="1176"/>
    </row>
    <row r="17" spans="1:5" ht="24.9" customHeight="1">
      <c r="A17" s="527" t="s">
        <v>3545</v>
      </c>
      <c r="B17" s="523" t="s">
        <v>3530</v>
      </c>
      <c r="C17" s="528">
        <v>60366816</v>
      </c>
      <c r="D17" s="1176"/>
    </row>
    <row r="18" spans="1:5" ht="24.9" customHeight="1">
      <c r="A18" s="527" t="s">
        <v>3546</v>
      </c>
      <c r="B18" s="523" t="s">
        <v>3530</v>
      </c>
      <c r="C18" s="528">
        <v>40229566</v>
      </c>
      <c r="D18" s="1176"/>
    </row>
    <row r="19" spans="1:5" ht="24.9" customHeight="1">
      <c r="A19" s="527" t="s">
        <v>3547</v>
      </c>
      <c r="B19" s="523" t="s">
        <v>3530</v>
      </c>
      <c r="C19" s="528">
        <v>12925215</v>
      </c>
      <c r="D19" s="1176"/>
    </row>
    <row r="20" spans="1:5" ht="24.9" customHeight="1">
      <c r="A20" s="529" t="s">
        <v>3548</v>
      </c>
      <c r="B20" s="523" t="s">
        <v>3530</v>
      </c>
      <c r="C20" s="530">
        <v>2395</v>
      </c>
      <c r="D20" s="1176"/>
    </row>
    <row r="21" spans="1:5" ht="24.9" customHeight="1" thickBot="1">
      <c r="A21" s="531" t="s">
        <v>3549</v>
      </c>
      <c r="B21" s="532">
        <f>SUM(B4:B20)</f>
        <v>643147809.86000013</v>
      </c>
      <c r="C21" s="532">
        <f>SUM(C4:C20)</f>
        <v>292550461.56</v>
      </c>
      <c r="D21" s="1177"/>
    </row>
    <row r="22" spans="1:5" ht="24.9" customHeight="1" thickBot="1">
      <c r="A22" s="533" t="s">
        <v>3550</v>
      </c>
      <c r="B22" s="1171">
        <f>B21-C21</f>
        <v>350597348.30000013</v>
      </c>
      <c r="C22" s="1172"/>
      <c r="D22" s="534"/>
    </row>
    <row r="23" spans="1:5" ht="7.5" customHeight="1"/>
    <row r="24" spans="1:5" ht="20.25" customHeight="1">
      <c r="A24" s="1178" t="s">
        <v>3551</v>
      </c>
      <c r="B24" s="1178"/>
      <c r="C24" s="1178"/>
      <c r="D24" s="1178"/>
      <c r="E24" s="1170"/>
    </row>
    <row r="25" spans="1:5" ht="13.5" customHeight="1" thickBot="1">
      <c r="A25" s="535"/>
      <c r="B25" s="535"/>
      <c r="C25" s="535"/>
      <c r="D25" s="535"/>
      <c r="E25" s="535"/>
    </row>
    <row r="26" spans="1:5" ht="29.25" customHeight="1" thickBot="1">
      <c r="A26" s="536" t="s">
        <v>1216</v>
      </c>
      <c r="B26" s="536" t="s">
        <v>3527</v>
      </c>
      <c r="C26" s="537" t="s">
        <v>3528</v>
      </c>
      <c r="D26" s="536" t="s">
        <v>8</v>
      </c>
      <c r="E26" s="538"/>
    </row>
    <row r="27" spans="1:5" ht="29.25" customHeight="1">
      <c r="A27" s="539" t="s">
        <v>3552</v>
      </c>
      <c r="B27" s="540">
        <v>194904518.93000001</v>
      </c>
      <c r="C27" s="541" t="s">
        <v>3530</v>
      </c>
      <c r="D27" s="542"/>
      <c r="E27" s="538"/>
    </row>
    <row r="28" spans="1:5" ht="24.75" customHeight="1">
      <c r="A28" s="543" t="s">
        <v>3553</v>
      </c>
      <c r="B28" s="544">
        <v>250000000</v>
      </c>
      <c r="C28" s="545" t="s">
        <v>3530</v>
      </c>
      <c r="D28" s="524" t="s">
        <v>3554</v>
      </c>
      <c r="E28" s="546"/>
    </row>
    <row r="29" spans="1:5" ht="24.75" customHeight="1">
      <c r="A29" s="543" t="s">
        <v>3555</v>
      </c>
      <c r="B29" s="547">
        <v>300221524.47000003</v>
      </c>
      <c r="C29" s="548" t="s">
        <v>3530</v>
      </c>
      <c r="D29" s="524" t="s">
        <v>3556</v>
      </c>
      <c r="E29" s="549"/>
    </row>
    <row r="30" spans="1:5" ht="24.75" customHeight="1">
      <c r="A30" s="550" t="s">
        <v>3557</v>
      </c>
      <c r="B30" s="547">
        <v>21572619</v>
      </c>
      <c r="C30" s="548" t="s">
        <v>3530</v>
      </c>
      <c r="D30" s="524" t="s">
        <v>3558</v>
      </c>
      <c r="E30" s="549"/>
    </row>
    <row r="31" spans="1:5" ht="24.75" customHeight="1">
      <c r="A31" s="551" t="s">
        <v>3559</v>
      </c>
      <c r="B31" s="547">
        <v>2273555.56</v>
      </c>
      <c r="C31" s="552" t="s">
        <v>3530</v>
      </c>
      <c r="D31" s="553" t="s">
        <v>3530</v>
      </c>
      <c r="E31" s="549"/>
    </row>
    <row r="32" spans="1:5" ht="24.75" customHeight="1">
      <c r="A32" s="551" t="s">
        <v>3560</v>
      </c>
      <c r="B32" s="554" t="s">
        <v>3530</v>
      </c>
      <c r="C32" s="555">
        <v>68.5</v>
      </c>
      <c r="D32" s="553" t="s">
        <v>3530</v>
      </c>
      <c r="E32" s="549"/>
    </row>
    <row r="33" spans="1:5" ht="24.75" customHeight="1">
      <c r="A33" s="551" t="s">
        <v>3561</v>
      </c>
      <c r="B33" s="554" t="s">
        <v>3530</v>
      </c>
      <c r="C33" s="555">
        <v>498980883.60000002</v>
      </c>
      <c r="D33" s="553" t="s">
        <v>3530</v>
      </c>
      <c r="E33" s="538"/>
    </row>
    <row r="34" spans="1:5" ht="24.75" customHeight="1" thickBot="1">
      <c r="A34" s="556" t="s">
        <v>3549</v>
      </c>
      <c r="B34" s="557">
        <f>SUM(B27:B33)</f>
        <v>768972217.96000004</v>
      </c>
      <c r="C34" s="558">
        <f>SUM(C27:C33)</f>
        <v>498980952.10000002</v>
      </c>
      <c r="D34" s="559" t="s">
        <v>3530</v>
      </c>
      <c r="E34" s="538"/>
    </row>
    <row r="35" spans="1:5" ht="24.75" customHeight="1" thickBot="1">
      <c r="A35" s="560" t="s">
        <v>3562</v>
      </c>
      <c r="B35" s="1171">
        <f>B34-C34</f>
        <v>269991265.86000001</v>
      </c>
      <c r="C35" s="1172"/>
      <c r="D35" s="561"/>
      <c r="E35" s="562"/>
    </row>
    <row r="56" spans="1:5" ht="24.75" customHeight="1">
      <c r="A56" s="1168" t="s">
        <v>3563</v>
      </c>
      <c r="B56" s="1169"/>
      <c r="C56" s="1169"/>
      <c r="D56" s="1169"/>
      <c r="E56" s="1170"/>
    </row>
    <row r="57" spans="1:5" ht="13.5" customHeight="1" thickBot="1">
      <c r="A57" s="563"/>
      <c r="B57" s="563"/>
      <c r="C57" s="563"/>
      <c r="D57" s="564"/>
      <c r="E57" s="564"/>
    </row>
    <row r="58" spans="1:5" ht="29.25" customHeight="1" thickBot="1">
      <c r="A58" s="536" t="s">
        <v>1216</v>
      </c>
      <c r="B58" s="536" t="s">
        <v>3527</v>
      </c>
      <c r="C58" s="537" t="s">
        <v>3528</v>
      </c>
      <c r="D58" s="537" t="s">
        <v>8</v>
      </c>
      <c r="E58" s="565"/>
    </row>
    <row r="59" spans="1:5" ht="24.75" customHeight="1">
      <c r="A59" s="566" t="s">
        <v>3564</v>
      </c>
      <c r="B59" s="540">
        <v>11023851.640000001</v>
      </c>
      <c r="C59" s="567" t="s">
        <v>3530</v>
      </c>
      <c r="D59" s="568" t="s">
        <v>3530</v>
      </c>
      <c r="E59" s="565"/>
    </row>
    <row r="60" spans="1:5" ht="24.75" customHeight="1">
      <c r="A60" s="551" t="s">
        <v>3565</v>
      </c>
      <c r="B60" s="547">
        <v>6000000</v>
      </c>
      <c r="C60" s="548" t="s">
        <v>3530</v>
      </c>
      <c r="D60" s="569" t="s">
        <v>3530</v>
      </c>
      <c r="E60" s="565"/>
    </row>
    <row r="61" spans="1:5" ht="24.75" customHeight="1">
      <c r="A61" s="551" t="s">
        <v>3566</v>
      </c>
      <c r="B61" s="570">
        <v>31212.48</v>
      </c>
      <c r="C61" s="548" t="s">
        <v>3530</v>
      </c>
      <c r="D61" s="569" t="s">
        <v>3530</v>
      </c>
      <c r="E61" s="565"/>
    </row>
    <row r="62" spans="1:5" ht="24.75" customHeight="1">
      <c r="A62" s="551" t="s">
        <v>3567</v>
      </c>
      <c r="B62" s="547">
        <v>1080</v>
      </c>
      <c r="C62" s="552" t="s">
        <v>3530</v>
      </c>
      <c r="D62" s="569" t="s">
        <v>3530</v>
      </c>
      <c r="E62" s="565"/>
    </row>
    <row r="63" spans="1:5" ht="24.75" customHeight="1">
      <c r="A63" s="551" t="s">
        <v>3568</v>
      </c>
      <c r="B63" s="554" t="s">
        <v>3530</v>
      </c>
      <c r="C63" s="571">
        <f>3845271.4+1176.6</f>
        <v>3846448</v>
      </c>
      <c r="D63" s="569" t="s">
        <v>3530</v>
      </c>
      <c r="E63" s="565"/>
    </row>
    <row r="64" spans="1:5" ht="24.75" customHeight="1">
      <c r="A64" s="551" t="s">
        <v>3569</v>
      </c>
      <c r="B64" s="554" t="s">
        <v>3530</v>
      </c>
      <c r="C64" s="555">
        <v>1672320</v>
      </c>
      <c r="D64" s="569" t="s">
        <v>3530</v>
      </c>
      <c r="E64" s="565"/>
    </row>
    <row r="65" spans="1:5" ht="24.75" customHeight="1">
      <c r="A65" s="572" t="s">
        <v>3570</v>
      </c>
      <c r="B65" s="573" t="s">
        <v>3530</v>
      </c>
      <c r="C65" s="571">
        <v>568500</v>
      </c>
      <c r="D65" s="569" t="s">
        <v>3530</v>
      </c>
      <c r="E65" s="565"/>
    </row>
    <row r="66" spans="1:5" ht="24.75" customHeight="1">
      <c r="A66" s="551" t="s">
        <v>3571</v>
      </c>
      <c r="B66" s="554" t="s">
        <v>3530</v>
      </c>
      <c r="C66" s="555">
        <v>229784</v>
      </c>
      <c r="D66" s="569" t="s">
        <v>3530</v>
      </c>
      <c r="E66" s="565"/>
    </row>
    <row r="67" spans="1:5" ht="24.75" customHeight="1">
      <c r="A67" s="572" t="s">
        <v>3572</v>
      </c>
      <c r="B67" s="574" t="s">
        <v>3530</v>
      </c>
      <c r="C67" s="571">
        <v>24458</v>
      </c>
      <c r="D67" s="569" t="s">
        <v>3530</v>
      </c>
      <c r="E67" s="565"/>
    </row>
    <row r="68" spans="1:5" ht="24.75" customHeight="1">
      <c r="A68" s="551" t="s">
        <v>3573</v>
      </c>
      <c r="B68" s="554" t="s">
        <v>3530</v>
      </c>
      <c r="C68" s="555">
        <v>2</v>
      </c>
      <c r="D68" s="569" t="s">
        <v>3530</v>
      </c>
      <c r="E68" s="565"/>
    </row>
    <row r="69" spans="1:5" ht="24.75" customHeight="1" thickBot="1">
      <c r="A69" s="575" t="s">
        <v>3549</v>
      </c>
      <c r="B69" s="576">
        <f>SUM(B59:B68)</f>
        <v>17056144.120000001</v>
      </c>
      <c r="C69" s="577">
        <f>SUM(C59:C68)</f>
        <v>6341512</v>
      </c>
      <c r="D69" s="578" t="s">
        <v>3530</v>
      </c>
      <c r="E69" s="579"/>
    </row>
    <row r="70" spans="1:5" ht="24.75" customHeight="1" thickBot="1">
      <c r="A70" s="580" t="s">
        <v>3574</v>
      </c>
      <c r="B70" s="1171">
        <f>B69-C69</f>
        <v>10714632.120000001</v>
      </c>
      <c r="C70" s="1172"/>
      <c r="D70" s="581" t="s">
        <v>3530</v>
      </c>
      <c r="E70" s="579"/>
    </row>
    <row r="71" spans="1:5">
      <c r="B71" s="582"/>
      <c r="C71" s="583"/>
    </row>
    <row r="72" spans="1:5">
      <c r="B72" s="582"/>
      <c r="C72" s="583"/>
    </row>
  </sheetData>
  <mergeCells count="8">
    <mergeCell ref="A56:E56"/>
    <mergeCell ref="B70:C70"/>
    <mergeCell ref="A1:D1"/>
    <mergeCell ref="A2:D2"/>
    <mergeCell ref="D6:D21"/>
    <mergeCell ref="B22:C22"/>
    <mergeCell ref="A24:E24"/>
    <mergeCell ref="B35:C35"/>
  </mergeCells>
  <printOptions horizontalCentered="1"/>
  <pageMargins left="0.78740157480314965" right="0.78740157480314965" top="0.98425196850393704" bottom="0.98425196850393704" header="0" footer="0"/>
  <pageSetup paperSize="9" scale="85" orientation="landscape" horizontalDpi="4294967293" r:id="rId1"/>
  <headerFooter alignWithMargins="0">
    <oddHeader>&amp;LPříloha č. 20&amp;CZávěrečný účet Plzeňského kraje za rok 2010</oddHeader>
    <oddFooter>&amp;LKrajský úřad Plzeňského kraje
odbor ekonomický&amp;C&amp;P&amp;R&amp;D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V459"/>
  <sheetViews>
    <sheetView showGridLines="0" topLeftCell="O363" zoomScaleNormal="100" workbookViewId="0">
      <selection activeCell="O399" sqref="O399"/>
    </sheetView>
  </sheetViews>
  <sheetFormatPr defaultRowHeight="13.2"/>
  <cols>
    <col min="1" max="1" width="8.109375" customWidth="1"/>
    <col min="2" max="2" width="0.33203125" hidden="1" customWidth="1"/>
    <col min="3" max="3" width="0.109375" hidden="1" customWidth="1"/>
    <col min="4" max="4" width="0.33203125" hidden="1" customWidth="1"/>
    <col min="5" max="5" width="3.88671875" hidden="1" customWidth="1"/>
    <col min="6" max="6" width="0.44140625" hidden="1" customWidth="1"/>
    <col min="7" max="7" width="1.6640625" hidden="1" customWidth="1"/>
    <col min="8" max="8" width="0.33203125" hidden="1" customWidth="1"/>
    <col min="9" max="9" width="0.109375" hidden="1" customWidth="1"/>
    <col min="10" max="10" width="10" customWidth="1"/>
    <col min="11" max="11" width="9.33203125" customWidth="1"/>
    <col min="12" max="12" width="20.109375" customWidth="1"/>
    <col min="13" max="13" width="13.33203125" customWidth="1"/>
    <col min="14" max="14" width="17.109375" customWidth="1"/>
    <col min="15" max="15" width="25" customWidth="1"/>
    <col min="16" max="17" width="15.44140625" customWidth="1"/>
    <col min="18" max="18" width="17.44140625" customWidth="1"/>
    <col min="19" max="19" width="24.109375" customWidth="1"/>
    <col min="257" max="257" width="8.109375" customWidth="1"/>
    <col min="258" max="265" width="0" hidden="1" customWidth="1"/>
    <col min="266" max="266" width="10" customWidth="1"/>
    <col min="267" max="267" width="9.33203125" customWidth="1"/>
    <col min="268" max="268" width="20.109375" customWidth="1"/>
    <col min="269" max="269" width="13.33203125" customWidth="1"/>
    <col min="270" max="270" width="17.109375" customWidth="1"/>
    <col min="271" max="271" width="25" customWidth="1"/>
    <col min="272" max="273" width="15.44140625" customWidth="1"/>
    <col min="274" max="274" width="17.44140625" customWidth="1"/>
    <col min="275" max="275" width="24.109375" customWidth="1"/>
    <col min="513" max="513" width="8.109375" customWidth="1"/>
    <col min="514" max="521" width="0" hidden="1" customWidth="1"/>
    <col min="522" max="522" width="10" customWidth="1"/>
    <col min="523" max="523" width="9.33203125" customWidth="1"/>
    <col min="524" max="524" width="20.109375" customWidth="1"/>
    <col min="525" max="525" width="13.33203125" customWidth="1"/>
    <col min="526" max="526" width="17.109375" customWidth="1"/>
    <col min="527" max="527" width="25" customWidth="1"/>
    <col min="528" max="529" width="15.44140625" customWidth="1"/>
    <col min="530" max="530" width="17.44140625" customWidth="1"/>
    <col min="531" max="531" width="24.109375" customWidth="1"/>
    <col min="769" max="769" width="8.109375" customWidth="1"/>
    <col min="770" max="777" width="0" hidden="1" customWidth="1"/>
    <col min="778" max="778" width="10" customWidth="1"/>
    <col min="779" max="779" width="9.33203125" customWidth="1"/>
    <col min="780" max="780" width="20.109375" customWidth="1"/>
    <col min="781" max="781" width="13.33203125" customWidth="1"/>
    <col min="782" max="782" width="17.109375" customWidth="1"/>
    <col min="783" max="783" width="25" customWidth="1"/>
    <col min="784" max="785" width="15.44140625" customWidth="1"/>
    <col min="786" max="786" width="17.44140625" customWidth="1"/>
    <col min="787" max="787" width="24.109375" customWidth="1"/>
    <col min="1025" max="1025" width="8.109375" customWidth="1"/>
    <col min="1026" max="1033" width="0" hidden="1" customWidth="1"/>
    <col min="1034" max="1034" width="10" customWidth="1"/>
    <col min="1035" max="1035" width="9.33203125" customWidth="1"/>
    <col min="1036" max="1036" width="20.109375" customWidth="1"/>
    <col min="1037" max="1037" width="13.33203125" customWidth="1"/>
    <col min="1038" max="1038" width="17.109375" customWidth="1"/>
    <col min="1039" max="1039" width="25" customWidth="1"/>
    <col min="1040" max="1041" width="15.44140625" customWidth="1"/>
    <col min="1042" max="1042" width="17.44140625" customWidth="1"/>
    <col min="1043" max="1043" width="24.109375" customWidth="1"/>
    <col min="1281" max="1281" width="8.109375" customWidth="1"/>
    <col min="1282" max="1289" width="0" hidden="1" customWidth="1"/>
    <col min="1290" max="1290" width="10" customWidth="1"/>
    <col min="1291" max="1291" width="9.33203125" customWidth="1"/>
    <col min="1292" max="1292" width="20.109375" customWidth="1"/>
    <col min="1293" max="1293" width="13.33203125" customWidth="1"/>
    <col min="1294" max="1294" width="17.109375" customWidth="1"/>
    <col min="1295" max="1295" width="25" customWidth="1"/>
    <col min="1296" max="1297" width="15.44140625" customWidth="1"/>
    <col min="1298" max="1298" width="17.44140625" customWidth="1"/>
    <col min="1299" max="1299" width="24.109375" customWidth="1"/>
    <col min="1537" max="1537" width="8.109375" customWidth="1"/>
    <col min="1538" max="1545" width="0" hidden="1" customWidth="1"/>
    <col min="1546" max="1546" width="10" customWidth="1"/>
    <col min="1547" max="1547" width="9.33203125" customWidth="1"/>
    <col min="1548" max="1548" width="20.109375" customWidth="1"/>
    <col min="1549" max="1549" width="13.33203125" customWidth="1"/>
    <col min="1550" max="1550" width="17.109375" customWidth="1"/>
    <col min="1551" max="1551" width="25" customWidth="1"/>
    <col min="1552" max="1553" width="15.44140625" customWidth="1"/>
    <col min="1554" max="1554" width="17.44140625" customWidth="1"/>
    <col min="1555" max="1555" width="24.109375" customWidth="1"/>
    <col min="1793" max="1793" width="8.109375" customWidth="1"/>
    <col min="1794" max="1801" width="0" hidden="1" customWidth="1"/>
    <col min="1802" max="1802" width="10" customWidth="1"/>
    <col min="1803" max="1803" width="9.33203125" customWidth="1"/>
    <col min="1804" max="1804" width="20.109375" customWidth="1"/>
    <col min="1805" max="1805" width="13.33203125" customWidth="1"/>
    <col min="1806" max="1806" width="17.109375" customWidth="1"/>
    <col min="1807" max="1807" width="25" customWidth="1"/>
    <col min="1808" max="1809" width="15.44140625" customWidth="1"/>
    <col min="1810" max="1810" width="17.44140625" customWidth="1"/>
    <col min="1811" max="1811" width="24.109375" customWidth="1"/>
    <col min="2049" max="2049" width="8.109375" customWidth="1"/>
    <col min="2050" max="2057" width="0" hidden="1" customWidth="1"/>
    <col min="2058" max="2058" width="10" customWidth="1"/>
    <col min="2059" max="2059" width="9.33203125" customWidth="1"/>
    <col min="2060" max="2060" width="20.109375" customWidth="1"/>
    <col min="2061" max="2061" width="13.33203125" customWidth="1"/>
    <col min="2062" max="2062" width="17.109375" customWidth="1"/>
    <col min="2063" max="2063" width="25" customWidth="1"/>
    <col min="2064" max="2065" width="15.44140625" customWidth="1"/>
    <col min="2066" max="2066" width="17.44140625" customWidth="1"/>
    <col min="2067" max="2067" width="24.109375" customWidth="1"/>
    <col min="2305" max="2305" width="8.109375" customWidth="1"/>
    <col min="2306" max="2313" width="0" hidden="1" customWidth="1"/>
    <col min="2314" max="2314" width="10" customWidth="1"/>
    <col min="2315" max="2315" width="9.33203125" customWidth="1"/>
    <col min="2316" max="2316" width="20.109375" customWidth="1"/>
    <col min="2317" max="2317" width="13.33203125" customWidth="1"/>
    <col min="2318" max="2318" width="17.109375" customWidth="1"/>
    <col min="2319" max="2319" width="25" customWidth="1"/>
    <col min="2320" max="2321" width="15.44140625" customWidth="1"/>
    <col min="2322" max="2322" width="17.44140625" customWidth="1"/>
    <col min="2323" max="2323" width="24.109375" customWidth="1"/>
    <col min="2561" max="2561" width="8.109375" customWidth="1"/>
    <col min="2562" max="2569" width="0" hidden="1" customWidth="1"/>
    <col min="2570" max="2570" width="10" customWidth="1"/>
    <col min="2571" max="2571" width="9.33203125" customWidth="1"/>
    <col min="2572" max="2572" width="20.109375" customWidth="1"/>
    <col min="2573" max="2573" width="13.33203125" customWidth="1"/>
    <col min="2574" max="2574" width="17.109375" customWidth="1"/>
    <col min="2575" max="2575" width="25" customWidth="1"/>
    <col min="2576" max="2577" width="15.44140625" customWidth="1"/>
    <col min="2578" max="2578" width="17.44140625" customWidth="1"/>
    <col min="2579" max="2579" width="24.109375" customWidth="1"/>
    <col min="2817" max="2817" width="8.109375" customWidth="1"/>
    <col min="2818" max="2825" width="0" hidden="1" customWidth="1"/>
    <col min="2826" max="2826" width="10" customWidth="1"/>
    <col min="2827" max="2827" width="9.33203125" customWidth="1"/>
    <col min="2828" max="2828" width="20.109375" customWidth="1"/>
    <col min="2829" max="2829" width="13.33203125" customWidth="1"/>
    <col min="2830" max="2830" width="17.109375" customWidth="1"/>
    <col min="2831" max="2831" width="25" customWidth="1"/>
    <col min="2832" max="2833" width="15.44140625" customWidth="1"/>
    <col min="2834" max="2834" width="17.44140625" customWidth="1"/>
    <col min="2835" max="2835" width="24.109375" customWidth="1"/>
    <col min="3073" max="3073" width="8.109375" customWidth="1"/>
    <col min="3074" max="3081" width="0" hidden="1" customWidth="1"/>
    <col min="3082" max="3082" width="10" customWidth="1"/>
    <col min="3083" max="3083" width="9.33203125" customWidth="1"/>
    <col min="3084" max="3084" width="20.109375" customWidth="1"/>
    <col min="3085" max="3085" width="13.33203125" customWidth="1"/>
    <col min="3086" max="3086" width="17.109375" customWidth="1"/>
    <col min="3087" max="3087" width="25" customWidth="1"/>
    <col min="3088" max="3089" width="15.44140625" customWidth="1"/>
    <col min="3090" max="3090" width="17.44140625" customWidth="1"/>
    <col min="3091" max="3091" width="24.109375" customWidth="1"/>
    <col min="3329" max="3329" width="8.109375" customWidth="1"/>
    <col min="3330" max="3337" width="0" hidden="1" customWidth="1"/>
    <col min="3338" max="3338" width="10" customWidth="1"/>
    <col min="3339" max="3339" width="9.33203125" customWidth="1"/>
    <col min="3340" max="3340" width="20.109375" customWidth="1"/>
    <col min="3341" max="3341" width="13.33203125" customWidth="1"/>
    <col min="3342" max="3342" width="17.109375" customWidth="1"/>
    <col min="3343" max="3343" width="25" customWidth="1"/>
    <col min="3344" max="3345" width="15.44140625" customWidth="1"/>
    <col min="3346" max="3346" width="17.44140625" customWidth="1"/>
    <col min="3347" max="3347" width="24.109375" customWidth="1"/>
    <col min="3585" max="3585" width="8.109375" customWidth="1"/>
    <col min="3586" max="3593" width="0" hidden="1" customWidth="1"/>
    <col min="3594" max="3594" width="10" customWidth="1"/>
    <col min="3595" max="3595" width="9.33203125" customWidth="1"/>
    <col min="3596" max="3596" width="20.109375" customWidth="1"/>
    <col min="3597" max="3597" width="13.33203125" customWidth="1"/>
    <col min="3598" max="3598" width="17.109375" customWidth="1"/>
    <col min="3599" max="3599" width="25" customWidth="1"/>
    <col min="3600" max="3601" width="15.44140625" customWidth="1"/>
    <col min="3602" max="3602" width="17.44140625" customWidth="1"/>
    <col min="3603" max="3603" width="24.109375" customWidth="1"/>
    <col min="3841" max="3841" width="8.109375" customWidth="1"/>
    <col min="3842" max="3849" width="0" hidden="1" customWidth="1"/>
    <col min="3850" max="3850" width="10" customWidth="1"/>
    <col min="3851" max="3851" width="9.33203125" customWidth="1"/>
    <col min="3852" max="3852" width="20.109375" customWidth="1"/>
    <col min="3853" max="3853" width="13.33203125" customWidth="1"/>
    <col min="3854" max="3854" width="17.109375" customWidth="1"/>
    <col min="3855" max="3855" width="25" customWidth="1"/>
    <col min="3856" max="3857" width="15.44140625" customWidth="1"/>
    <col min="3858" max="3858" width="17.44140625" customWidth="1"/>
    <col min="3859" max="3859" width="24.109375" customWidth="1"/>
    <col min="4097" max="4097" width="8.109375" customWidth="1"/>
    <col min="4098" max="4105" width="0" hidden="1" customWidth="1"/>
    <col min="4106" max="4106" width="10" customWidth="1"/>
    <col min="4107" max="4107" width="9.33203125" customWidth="1"/>
    <col min="4108" max="4108" width="20.109375" customWidth="1"/>
    <col min="4109" max="4109" width="13.33203125" customWidth="1"/>
    <col min="4110" max="4110" width="17.109375" customWidth="1"/>
    <col min="4111" max="4111" width="25" customWidth="1"/>
    <col min="4112" max="4113" width="15.44140625" customWidth="1"/>
    <col min="4114" max="4114" width="17.44140625" customWidth="1"/>
    <col min="4115" max="4115" width="24.109375" customWidth="1"/>
    <col min="4353" max="4353" width="8.109375" customWidth="1"/>
    <col min="4354" max="4361" width="0" hidden="1" customWidth="1"/>
    <col min="4362" max="4362" width="10" customWidth="1"/>
    <col min="4363" max="4363" width="9.33203125" customWidth="1"/>
    <col min="4364" max="4364" width="20.109375" customWidth="1"/>
    <col min="4365" max="4365" width="13.33203125" customWidth="1"/>
    <col min="4366" max="4366" width="17.109375" customWidth="1"/>
    <col min="4367" max="4367" width="25" customWidth="1"/>
    <col min="4368" max="4369" width="15.44140625" customWidth="1"/>
    <col min="4370" max="4370" width="17.44140625" customWidth="1"/>
    <col min="4371" max="4371" width="24.109375" customWidth="1"/>
    <col min="4609" max="4609" width="8.109375" customWidth="1"/>
    <col min="4610" max="4617" width="0" hidden="1" customWidth="1"/>
    <col min="4618" max="4618" width="10" customWidth="1"/>
    <col min="4619" max="4619" width="9.33203125" customWidth="1"/>
    <col min="4620" max="4620" width="20.109375" customWidth="1"/>
    <col min="4621" max="4621" width="13.33203125" customWidth="1"/>
    <col min="4622" max="4622" width="17.109375" customWidth="1"/>
    <col min="4623" max="4623" width="25" customWidth="1"/>
    <col min="4624" max="4625" width="15.44140625" customWidth="1"/>
    <col min="4626" max="4626" width="17.44140625" customWidth="1"/>
    <col min="4627" max="4627" width="24.109375" customWidth="1"/>
    <col min="4865" max="4865" width="8.109375" customWidth="1"/>
    <col min="4866" max="4873" width="0" hidden="1" customWidth="1"/>
    <col min="4874" max="4874" width="10" customWidth="1"/>
    <col min="4875" max="4875" width="9.33203125" customWidth="1"/>
    <col min="4876" max="4876" width="20.109375" customWidth="1"/>
    <col min="4877" max="4877" width="13.33203125" customWidth="1"/>
    <col min="4878" max="4878" width="17.109375" customWidth="1"/>
    <col min="4879" max="4879" width="25" customWidth="1"/>
    <col min="4880" max="4881" width="15.44140625" customWidth="1"/>
    <col min="4882" max="4882" width="17.44140625" customWidth="1"/>
    <col min="4883" max="4883" width="24.109375" customWidth="1"/>
    <col min="5121" max="5121" width="8.109375" customWidth="1"/>
    <col min="5122" max="5129" width="0" hidden="1" customWidth="1"/>
    <col min="5130" max="5130" width="10" customWidth="1"/>
    <col min="5131" max="5131" width="9.33203125" customWidth="1"/>
    <col min="5132" max="5132" width="20.109375" customWidth="1"/>
    <col min="5133" max="5133" width="13.33203125" customWidth="1"/>
    <col min="5134" max="5134" width="17.109375" customWidth="1"/>
    <col min="5135" max="5135" width="25" customWidth="1"/>
    <col min="5136" max="5137" width="15.44140625" customWidth="1"/>
    <col min="5138" max="5138" width="17.44140625" customWidth="1"/>
    <col min="5139" max="5139" width="24.109375" customWidth="1"/>
    <col min="5377" max="5377" width="8.109375" customWidth="1"/>
    <col min="5378" max="5385" width="0" hidden="1" customWidth="1"/>
    <col min="5386" max="5386" width="10" customWidth="1"/>
    <col min="5387" max="5387" width="9.33203125" customWidth="1"/>
    <col min="5388" max="5388" width="20.109375" customWidth="1"/>
    <col min="5389" max="5389" width="13.33203125" customWidth="1"/>
    <col min="5390" max="5390" width="17.109375" customWidth="1"/>
    <col min="5391" max="5391" width="25" customWidth="1"/>
    <col min="5392" max="5393" width="15.44140625" customWidth="1"/>
    <col min="5394" max="5394" width="17.44140625" customWidth="1"/>
    <col min="5395" max="5395" width="24.109375" customWidth="1"/>
    <col min="5633" max="5633" width="8.109375" customWidth="1"/>
    <col min="5634" max="5641" width="0" hidden="1" customWidth="1"/>
    <col min="5642" max="5642" width="10" customWidth="1"/>
    <col min="5643" max="5643" width="9.33203125" customWidth="1"/>
    <col min="5644" max="5644" width="20.109375" customWidth="1"/>
    <col min="5645" max="5645" width="13.33203125" customWidth="1"/>
    <col min="5646" max="5646" width="17.109375" customWidth="1"/>
    <col min="5647" max="5647" width="25" customWidth="1"/>
    <col min="5648" max="5649" width="15.44140625" customWidth="1"/>
    <col min="5650" max="5650" width="17.44140625" customWidth="1"/>
    <col min="5651" max="5651" width="24.109375" customWidth="1"/>
    <col min="5889" max="5889" width="8.109375" customWidth="1"/>
    <col min="5890" max="5897" width="0" hidden="1" customWidth="1"/>
    <col min="5898" max="5898" width="10" customWidth="1"/>
    <col min="5899" max="5899" width="9.33203125" customWidth="1"/>
    <col min="5900" max="5900" width="20.109375" customWidth="1"/>
    <col min="5901" max="5901" width="13.33203125" customWidth="1"/>
    <col min="5902" max="5902" width="17.109375" customWidth="1"/>
    <col min="5903" max="5903" width="25" customWidth="1"/>
    <col min="5904" max="5905" width="15.44140625" customWidth="1"/>
    <col min="5906" max="5906" width="17.44140625" customWidth="1"/>
    <col min="5907" max="5907" width="24.109375" customWidth="1"/>
    <col min="6145" max="6145" width="8.109375" customWidth="1"/>
    <col min="6146" max="6153" width="0" hidden="1" customWidth="1"/>
    <col min="6154" max="6154" width="10" customWidth="1"/>
    <col min="6155" max="6155" width="9.33203125" customWidth="1"/>
    <col min="6156" max="6156" width="20.109375" customWidth="1"/>
    <col min="6157" max="6157" width="13.33203125" customWidth="1"/>
    <col min="6158" max="6158" width="17.109375" customWidth="1"/>
    <col min="6159" max="6159" width="25" customWidth="1"/>
    <col min="6160" max="6161" width="15.44140625" customWidth="1"/>
    <col min="6162" max="6162" width="17.44140625" customWidth="1"/>
    <col min="6163" max="6163" width="24.109375" customWidth="1"/>
    <col min="6401" max="6401" width="8.109375" customWidth="1"/>
    <col min="6402" max="6409" width="0" hidden="1" customWidth="1"/>
    <col min="6410" max="6410" width="10" customWidth="1"/>
    <col min="6411" max="6411" width="9.33203125" customWidth="1"/>
    <col min="6412" max="6412" width="20.109375" customWidth="1"/>
    <col min="6413" max="6413" width="13.33203125" customWidth="1"/>
    <col min="6414" max="6414" width="17.109375" customWidth="1"/>
    <col min="6415" max="6415" width="25" customWidth="1"/>
    <col min="6416" max="6417" width="15.44140625" customWidth="1"/>
    <col min="6418" max="6418" width="17.44140625" customWidth="1"/>
    <col min="6419" max="6419" width="24.109375" customWidth="1"/>
    <col min="6657" max="6657" width="8.109375" customWidth="1"/>
    <col min="6658" max="6665" width="0" hidden="1" customWidth="1"/>
    <col min="6666" max="6666" width="10" customWidth="1"/>
    <col min="6667" max="6667" width="9.33203125" customWidth="1"/>
    <col min="6668" max="6668" width="20.109375" customWidth="1"/>
    <col min="6669" max="6669" width="13.33203125" customWidth="1"/>
    <col min="6670" max="6670" width="17.109375" customWidth="1"/>
    <col min="6671" max="6671" width="25" customWidth="1"/>
    <col min="6672" max="6673" width="15.44140625" customWidth="1"/>
    <col min="6674" max="6674" width="17.44140625" customWidth="1"/>
    <col min="6675" max="6675" width="24.109375" customWidth="1"/>
    <col min="6913" max="6913" width="8.109375" customWidth="1"/>
    <col min="6914" max="6921" width="0" hidden="1" customWidth="1"/>
    <col min="6922" max="6922" width="10" customWidth="1"/>
    <col min="6923" max="6923" width="9.33203125" customWidth="1"/>
    <col min="6924" max="6924" width="20.109375" customWidth="1"/>
    <col min="6925" max="6925" width="13.33203125" customWidth="1"/>
    <col min="6926" max="6926" width="17.109375" customWidth="1"/>
    <col min="6927" max="6927" width="25" customWidth="1"/>
    <col min="6928" max="6929" width="15.44140625" customWidth="1"/>
    <col min="6930" max="6930" width="17.44140625" customWidth="1"/>
    <col min="6931" max="6931" width="24.109375" customWidth="1"/>
    <col min="7169" max="7169" width="8.109375" customWidth="1"/>
    <col min="7170" max="7177" width="0" hidden="1" customWidth="1"/>
    <col min="7178" max="7178" width="10" customWidth="1"/>
    <col min="7179" max="7179" width="9.33203125" customWidth="1"/>
    <col min="7180" max="7180" width="20.109375" customWidth="1"/>
    <col min="7181" max="7181" width="13.33203125" customWidth="1"/>
    <col min="7182" max="7182" width="17.109375" customWidth="1"/>
    <col min="7183" max="7183" width="25" customWidth="1"/>
    <col min="7184" max="7185" width="15.44140625" customWidth="1"/>
    <col min="7186" max="7186" width="17.44140625" customWidth="1"/>
    <col min="7187" max="7187" width="24.109375" customWidth="1"/>
    <col min="7425" max="7425" width="8.109375" customWidth="1"/>
    <col min="7426" max="7433" width="0" hidden="1" customWidth="1"/>
    <col min="7434" max="7434" width="10" customWidth="1"/>
    <col min="7435" max="7435" width="9.33203125" customWidth="1"/>
    <col min="7436" max="7436" width="20.109375" customWidth="1"/>
    <col min="7437" max="7437" width="13.33203125" customWidth="1"/>
    <col min="7438" max="7438" width="17.109375" customWidth="1"/>
    <col min="7439" max="7439" width="25" customWidth="1"/>
    <col min="7440" max="7441" width="15.44140625" customWidth="1"/>
    <col min="7442" max="7442" width="17.44140625" customWidth="1"/>
    <col min="7443" max="7443" width="24.109375" customWidth="1"/>
    <col min="7681" max="7681" width="8.109375" customWidth="1"/>
    <col min="7682" max="7689" width="0" hidden="1" customWidth="1"/>
    <col min="7690" max="7690" width="10" customWidth="1"/>
    <col min="7691" max="7691" width="9.33203125" customWidth="1"/>
    <col min="7692" max="7692" width="20.109375" customWidth="1"/>
    <col min="7693" max="7693" width="13.33203125" customWidth="1"/>
    <col min="7694" max="7694" width="17.109375" customWidth="1"/>
    <col min="7695" max="7695" width="25" customWidth="1"/>
    <col min="7696" max="7697" width="15.44140625" customWidth="1"/>
    <col min="7698" max="7698" width="17.44140625" customWidth="1"/>
    <col min="7699" max="7699" width="24.109375" customWidth="1"/>
    <col min="7937" max="7937" width="8.109375" customWidth="1"/>
    <col min="7938" max="7945" width="0" hidden="1" customWidth="1"/>
    <col min="7946" max="7946" width="10" customWidth="1"/>
    <col min="7947" max="7947" width="9.33203125" customWidth="1"/>
    <col min="7948" max="7948" width="20.109375" customWidth="1"/>
    <col min="7949" max="7949" width="13.33203125" customWidth="1"/>
    <col min="7950" max="7950" width="17.109375" customWidth="1"/>
    <col min="7951" max="7951" width="25" customWidth="1"/>
    <col min="7952" max="7953" width="15.44140625" customWidth="1"/>
    <col min="7954" max="7954" width="17.44140625" customWidth="1"/>
    <col min="7955" max="7955" width="24.109375" customWidth="1"/>
    <col min="8193" max="8193" width="8.109375" customWidth="1"/>
    <col min="8194" max="8201" width="0" hidden="1" customWidth="1"/>
    <col min="8202" max="8202" width="10" customWidth="1"/>
    <col min="8203" max="8203" width="9.33203125" customWidth="1"/>
    <col min="8204" max="8204" width="20.109375" customWidth="1"/>
    <col min="8205" max="8205" width="13.33203125" customWidth="1"/>
    <col min="8206" max="8206" width="17.109375" customWidth="1"/>
    <col min="8207" max="8207" width="25" customWidth="1"/>
    <col min="8208" max="8209" width="15.44140625" customWidth="1"/>
    <col min="8210" max="8210" width="17.44140625" customWidth="1"/>
    <col min="8211" max="8211" width="24.109375" customWidth="1"/>
    <col min="8449" max="8449" width="8.109375" customWidth="1"/>
    <col min="8450" max="8457" width="0" hidden="1" customWidth="1"/>
    <col min="8458" max="8458" width="10" customWidth="1"/>
    <col min="8459" max="8459" width="9.33203125" customWidth="1"/>
    <col min="8460" max="8460" width="20.109375" customWidth="1"/>
    <col min="8461" max="8461" width="13.33203125" customWidth="1"/>
    <col min="8462" max="8462" width="17.109375" customWidth="1"/>
    <col min="8463" max="8463" width="25" customWidth="1"/>
    <col min="8464" max="8465" width="15.44140625" customWidth="1"/>
    <col min="8466" max="8466" width="17.44140625" customWidth="1"/>
    <col min="8467" max="8467" width="24.109375" customWidth="1"/>
    <col min="8705" max="8705" width="8.109375" customWidth="1"/>
    <col min="8706" max="8713" width="0" hidden="1" customWidth="1"/>
    <col min="8714" max="8714" width="10" customWidth="1"/>
    <col min="8715" max="8715" width="9.33203125" customWidth="1"/>
    <col min="8716" max="8716" width="20.109375" customWidth="1"/>
    <col min="8717" max="8717" width="13.33203125" customWidth="1"/>
    <col min="8718" max="8718" width="17.109375" customWidth="1"/>
    <col min="8719" max="8719" width="25" customWidth="1"/>
    <col min="8720" max="8721" width="15.44140625" customWidth="1"/>
    <col min="8722" max="8722" width="17.44140625" customWidth="1"/>
    <col min="8723" max="8723" width="24.109375" customWidth="1"/>
    <col min="8961" max="8961" width="8.109375" customWidth="1"/>
    <col min="8962" max="8969" width="0" hidden="1" customWidth="1"/>
    <col min="8970" max="8970" width="10" customWidth="1"/>
    <col min="8971" max="8971" width="9.33203125" customWidth="1"/>
    <col min="8972" max="8972" width="20.109375" customWidth="1"/>
    <col min="8973" max="8973" width="13.33203125" customWidth="1"/>
    <col min="8974" max="8974" width="17.109375" customWidth="1"/>
    <col min="8975" max="8975" width="25" customWidth="1"/>
    <col min="8976" max="8977" width="15.44140625" customWidth="1"/>
    <col min="8978" max="8978" width="17.44140625" customWidth="1"/>
    <col min="8979" max="8979" width="24.109375" customWidth="1"/>
    <col min="9217" max="9217" width="8.109375" customWidth="1"/>
    <col min="9218" max="9225" width="0" hidden="1" customWidth="1"/>
    <col min="9226" max="9226" width="10" customWidth="1"/>
    <col min="9227" max="9227" width="9.33203125" customWidth="1"/>
    <col min="9228" max="9228" width="20.109375" customWidth="1"/>
    <col min="9229" max="9229" width="13.33203125" customWidth="1"/>
    <col min="9230" max="9230" width="17.109375" customWidth="1"/>
    <col min="9231" max="9231" width="25" customWidth="1"/>
    <col min="9232" max="9233" width="15.44140625" customWidth="1"/>
    <col min="9234" max="9234" width="17.44140625" customWidth="1"/>
    <col min="9235" max="9235" width="24.109375" customWidth="1"/>
    <col min="9473" max="9473" width="8.109375" customWidth="1"/>
    <col min="9474" max="9481" width="0" hidden="1" customWidth="1"/>
    <col min="9482" max="9482" width="10" customWidth="1"/>
    <col min="9483" max="9483" width="9.33203125" customWidth="1"/>
    <col min="9484" max="9484" width="20.109375" customWidth="1"/>
    <col min="9485" max="9485" width="13.33203125" customWidth="1"/>
    <col min="9486" max="9486" width="17.109375" customWidth="1"/>
    <col min="9487" max="9487" width="25" customWidth="1"/>
    <col min="9488" max="9489" width="15.44140625" customWidth="1"/>
    <col min="9490" max="9490" width="17.44140625" customWidth="1"/>
    <col min="9491" max="9491" width="24.109375" customWidth="1"/>
    <col min="9729" max="9729" width="8.109375" customWidth="1"/>
    <col min="9730" max="9737" width="0" hidden="1" customWidth="1"/>
    <col min="9738" max="9738" width="10" customWidth="1"/>
    <col min="9739" max="9739" width="9.33203125" customWidth="1"/>
    <col min="9740" max="9740" width="20.109375" customWidth="1"/>
    <col min="9741" max="9741" width="13.33203125" customWidth="1"/>
    <col min="9742" max="9742" width="17.109375" customWidth="1"/>
    <col min="9743" max="9743" width="25" customWidth="1"/>
    <col min="9744" max="9745" width="15.44140625" customWidth="1"/>
    <col min="9746" max="9746" width="17.44140625" customWidth="1"/>
    <col min="9747" max="9747" width="24.109375" customWidth="1"/>
    <col min="9985" max="9985" width="8.109375" customWidth="1"/>
    <col min="9986" max="9993" width="0" hidden="1" customWidth="1"/>
    <col min="9994" max="9994" width="10" customWidth="1"/>
    <col min="9995" max="9995" width="9.33203125" customWidth="1"/>
    <col min="9996" max="9996" width="20.109375" customWidth="1"/>
    <col min="9997" max="9997" width="13.33203125" customWidth="1"/>
    <col min="9998" max="9998" width="17.109375" customWidth="1"/>
    <col min="9999" max="9999" width="25" customWidth="1"/>
    <col min="10000" max="10001" width="15.44140625" customWidth="1"/>
    <col min="10002" max="10002" width="17.44140625" customWidth="1"/>
    <col min="10003" max="10003" width="24.109375" customWidth="1"/>
    <col min="10241" max="10241" width="8.109375" customWidth="1"/>
    <col min="10242" max="10249" width="0" hidden="1" customWidth="1"/>
    <col min="10250" max="10250" width="10" customWidth="1"/>
    <col min="10251" max="10251" width="9.33203125" customWidth="1"/>
    <col min="10252" max="10252" width="20.109375" customWidth="1"/>
    <col min="10253" max="10253" width="13.33203125" customWidth="1"/>
    <col min="10254" max="10254" width="17.109375" customWidth="1"/>
    <col min="10255" max="10255" width="25" customWidth="1"/>
    <col min="10256" max="10257" width="15.44140625" customWidth="1"/>
    <col min="10258" max="10258" width="17.44140625" customWidth="1"/>
    <col min="10259" max="10259" width="24.109375" customWidth="1"/>
    <col min="10497" max="10497" width="8.109375" customWidth="1"/>
    <col min="10498" max="10505" width="0" hidden="1" customWidth="1"/>
    <col min="10506" max="10506" width="10" customWidth="1"/>
    <col min="10507" max="10507" width="9.33203125" customWidth="1"/>
    <col min="10508" max="10508" width="20.109375" customWidth="1"/>
    <col min="10509" max="10509" width="13.33203125" customWidth="1"/>
    <col min="10510" max="10510" width="17.109375" customWidth="1"/>
    <col min="10511" max="10511" width="25" customWidth="1"/>
    <col min="10512" max="10513" width="15.44140625" customWidth="1"/>
    <col min="10514" max="10514" width="17.44140625" customWidth="1"/>
    <col min="10515" max="10515" width="24.109375" customWidth="1"/>
    <col min="10753" max="10753" width="8.109375" customWidth="1"/>
    <col min="10754" max="10761" width="0" hidden="1" customWidth="1"/>
    <col min="10762" max="10762" width="10" customWidth="1"/>
    <col min="10763" max="10763" width="9.33203125" customWidth="1"/>
    <col min="10764" max="10764" width="20.109375" customWidth="1"/>
    <col min="10765" max="10765" width="13.33203125" customWidth="1"/>
    <col min="10766" max="10766" width="17.109375" customWidth="1"/>
    <col min="10767" max="10767" width="25" customWidth="1"/>
    <col min="10768" max="10769" width="15.44140625" customWidth="1"/>
    <col min="10770" max="10770" width="17.44140625" customWidth="1"/>
    <col min="10771" max="10771" width="24.109375" customWidth="1"/>
    <col min="11009" max="11009" width="8.109375" customWidth="1"/>
    <col min="11010" max="11017" width="0" hidden="1" customWidth="1"/>
    <col min="11018" max="11018" width="10" customWidth="1"/>
    <col min="11019" max="11019" width="9.33203125" customWidth="1"/>
    <col min="11020" max="11020" width="20.109375" customWidth="1"/>
    <col min="11021" max="11021" width="13.33203125" customWidth="1"/>
    <col min="11022" max="11022" width="17.109375" customWidth="1"/>
    <col min="11023" max="11023" width="25" customWidth="1"/>
    <col min="11024" max="11025" width="15.44140625" customWidth="1"/>
    <col min="11026" max="11026" width="17.44140625" customWidth="1"/>
    <col min="11027" max="11027" width="24.109375" customWidth="1"/>
    <col min="11265" max="11265" width="8.109375" customWidth="1"/>
    <col min="11266" max="11273" width="0" hidden="1" customWidth="1"/>
    <col min="11274" max="11274" width="10" customWidth="1"/>
    <col min="11275" max="11275" width="9.33203125" customWidth="1"/>
    <col min="11276" max="11276" width="20.109375" customWidth="1"/>
    <col min="11277" max="11277" width="13.33203125" customWidth="1"/>
    <col min="11278" max="11278" width="17.109375" customWidth="1"/>
    <col min="11279" max="11279" width="25" customWidth="1"/>
    <col min="11280" max="11281" width="15.44140625" customWidth="1"/>
    <col min="11282" max="11282" width="17.44140625" customWidth="1"/>
    <col min="11283" max="11283" width="24.109375" customWidth="1"/>
    <col min="11521" max="11521" width="8.109375" customWidth="1"/>
    <col min="11522" max="11529" width="0" hidden="1" customWidth="1"/>
    <col min="11530" max="11530" width="10" customWidth="1"/>
    <col min="11531" max="11531" width="9.33203125" customWidth="1"/>
    <col min="11532" max="11532" width="20.109375" customWidth="1"/>
    <col min="11533" max="11533" width="13.33203125" customWidth="1"/>
    <col min="11534" max="11534" width="17.109375" customWidth="1"/>
    <col min="11535" max="11535" width="25" customWidth="1"/>
    <col min="11536" max="11537" width="15.44140625" customWidth="1"/>
    <col min="11538" max="11538" width="17.44140625" customWidth="1"/>
    <col min="11539" max="11539" width="24.109375" customWidth="1"/>
    <col min="11777" max="11777" width="8.109375" customWidth="1"/>
    <col min="11778" max="11785" width="0" hidden="1" customWidth="1"/>
    <col min="11786" max="11786" width="10" customWidth="1"/>
    <col min="11787" max="11787" width="9.33203125" customWidth="1"/>
    <col min="11788" max="11788" width="20.109375" customWidth="1"/>
    <col min="11789" max="11789" width="13.33203125" customWidth="1"/>
    <col min="11790" max="11790" width="17.109375" customWidth="1"/>
    <col min="11791" max="11791" width="25" customWidth="1"/>
    <col min="11792" max="11793" width="15.44140625" customWidth="1"/>
    <col min="11794" max="11794" width="17.44140625" customWidth="1"/>
    <col min="11795" max="11795" width="24.109375" customWidth="1"/>
    <col min="12033" max="12033" width="8.109375" customWidth="1"/>
    <col min="12034" max="12041" width="0" hidden="1" customWidth="1"/>
    <col min="12042" max="12042" width="10" customWidth="1"/>
    <col min="12043" max="12043" width="9.33203125" customWidth="1"/>
    <col min="12044" max="12044" width="20.109375" customWidth="1"/>
    <col min="12045" max="12045" width="13.33203125" customWidth="1"/>
    <col min="12046" max="12046" width="17.109375" customWidth="1"/>
    <col min="12047" max="12047" width="25" customWidth="1"/>
    <col min="12048" max="12049" width="15.44140625" customWidth="1"/>
    <col min="12050" max="12050" width="17.44140625" customWidth="1"/>
    <col min="12051" max="12051" width="24.109375" customWidth="1"/>
    <col min="12289" max="12289" width="8.109375" customWidth="1"/>
    <col min="12290" max="12297" width="0" hidden="1" customWidth="1"/>
    <col min="12298" max="12298" width="10" customWidth="1"/>
    <col min="12299" max="12299" width="9.33203125" customWidth="1"/>
    <col min="12300" max="12300" width="20.109375" customWidth="1"/>
    <col min="12301" max="12301" width="13.33203125" customWidth="1"/>
    <col min="12302" max="12302" width="17.109375" customWidth="1"/>
    <col min="12303" max="12303" width="25" customWidth="1"/>
    <col min="12304" max="12305" width="15.44140625" customWidth="1"/>
    <col min="12306" max="12306" width="17.44140625" customWidth="1"/>
    <col min="12307" max="12307" width="24.109375" customWidth="1"/>
    <col min="12545" max="12545" width="8.109375" customWidth="1"/>
    <col min="12546" max="12553" width="0" hidden="1" customWidth="1"/>
    <col min="12554" max="12554" width="10" customWidth="1"/>
    <col min="12555" max="12555" width="9.33203125" customWidth="1"/>
    <col min="12556" max="12556" width="20.109375" customWidth="1"/>
    <col min="12557" max="12557" width="13.33203125" customWidth="1"/>
    <col min="12558" max="12558" width="17.109375" customWidth="1"/>
    <col min="12559" max="12559" width="25" customWidth="1"/>
    <col min="12560" max="12561" width="15.44140625" customWidth="1"/>
    <col min="12562" max="12562" width="17.44140625" customWidth="1"/>
    <col min="12563" max="12563" width="24.109375" customWidth="1"/>
    <col min="12801" max="12801" width="8.109375" customWidth="1"/>
    <col min="12802" max="12809" width="0" hidden="1" customWidth="1"/>
    <col min="12810" max="12810" width="10" customWidth="1"/>
    <col min="12811" max="12811" width="9.33203125" customWidth="1"/>
    <col min="12812" max="12812" width="20.109375" customWidth="1"/>
    <col min="12813" max="12813" width="13.33203125" customWidth="1"/>
    <col min="12814" max="12814" width="17.109375" customWidth="1"/>
    <col min="12815" max="12815" width="25" customWidth="1"/>
    <col min="12816" max="12817" width="15.44140625" customWidth="1"/>
    <col min="12818" max="12818" width="17.44140625" customWidth="1"/>
    <col min="12819" max="12819" width="24.109375" customWidth="1"/>
    <col min="13057" max="13057" width="8.109375" customWidth="1"/>
    <col min="13058" max="13065" width="0" hidden="1" customWidth="1"/>
    <col min="13066" max="13066" width="10" customWidth="1"/>
    <col min="13067" max="13067" width="9.33203125" customWidth="1"/>
    <col min="13068" max="13068" width="20.109375" customWidth="1"/>
    <col min="13069" max="13069" width="13.33203125" customWidth="1"/>
    <col min="13070" max="13070" width="17.109375" customWidth="1"/>
    <col min="13071" max="13071" width="25" customWidth="1"/>
    <col min="13072" max="13073" width="15.44140625" customWidth="1"/>
    <col min="13074" max="13074" width="17.44140625" customWidth="1"/>
    <col min="13075" max="13075" width="24.109375" customWidth="1"/>
    <col min="13313" max="13313" width="8.109375" customWidth="1"/>
    <col min="13314" max="13321" width="0" hidden="1" customWidth="1"/>
    <col min="13322" max="13322" width="10" customWidth="1"/>
    <col min="13323" max="13323" width="9.33203125" customWidth="1"/>
    <col min="13324" max="13324" width="20.109375" customWidth="1"/>
    <col min="13325" max="13325" width="13.33203125" customWidth="1"/>
    <col min="13326" max="13326" width="17.109375" customWidth="1"/>
    <col min="13327" max="13327" width="25" customWidth="1"/>
    <col min="13328" max="13329" width="15.44140625" customWidth="1"/>
    <col min="13330" max="13330" width="17.44140625" customWidth="1"/>
    <col min="13331" max="13331" width="24.109375" customWidth="1"/>
    <col min="13569" max="13569" width="8.109375" customWidth="1"/>
    <col min="13570" max="13577" width="0" hidden="1" customWidth="1"/>
    <col min="13578" max="13578" width="10" customWidth="1"/>
    <col min="13579" max="13579" width="9.33203125" customWidth="1"/>
    <col min="13580" max="13580" width="20.109375" customWidth="1"/>
    <col min="13581" max="13581" width="13.33203125" customWidth="1"/>
    <col min="13582" max="13582" width="17.109375" customWidth="1"/>
    <col min="13583" max="13583" width="25" customWidth="1"/>
    <col min="13584" max="13585" width="15.44140625" customWidth="1"/>
    <col min="13586" max="13586" width="17.44140625" customWidth="1"/>
    <col min="13587" max="13587" width="24.109375" customWidth="1"/>
    <col min="13825" max="13825" width="8.109375" customWidth="1"/>
    <col min="13826" max="13833" width="0" hidden="1" customWidth="1"/>
    <col min="13834" max="13834" width="10" customWidth="1"/>
    <col min="13835" max="13835" width="9.33203125" customWidth="1"/>
    <col min="13836" max="13836" width="20.109375" customWidth="1"/>
    <col min="13837" max="13837" width="13.33203125" customWidth="1"/>
    <col min="13838" max="13838" width="17.109375" customWidth="1"/>
    <col min="13839" max="13839" width="25" customWidth="1"/>
    <col min="13840" max="13841" width="15.44140625" customWidth="1"/>
    <col min="13842" max="13842" width="17.44140625" customWidth="1"/>
    <col min="13843" max="13843" width="24.109375" customWidth="1"/>
    <col min="14081" max="14081" width="8.109375" customWidth="1"/>
    <col min="14082" max="14089" width="0" hidden="1" customWidth="1"/>
    <col min="14090" max="14090" width="10" customWidth="1"/>
    <col min="14091" max="14091" width="9.33203125" customWidth="1"/>
    <col min="14092" max="14092" width="20.109375" customWidth="1"/>
    <col min="14093" max="14093" width="13.33203125" customWidth="1"/>
    <col min="14094" max="14094" width="17.109375" customWidth="1"/>
    <col min="14095" max="14095" width="25" customWidth="1"/>
    <col min="14096" max="14097" width="15.44140625" customWidth="1"/>
    <col min="14098" max="14098" width="17.44140625" customWidth="1"/>
    <col min="14099" max="14099" width="24.109375" customWidth="1"/>
    <col min="14337" max="14337" width="8.109375" customWidth="1"/>
    <col min="14338" max="14345" width="0" hidden="1" customWidth="1"/>
    <col min="14346" max="14346" width="10" customWidth="1"/>
    <col min="14347" max="14347" width="9.33203125" customWidth="1"/>
    <col min="14348" max="14348" width="20.109375" customWidth="1"/>
    <col min="14349" max="14349" width="13.33203125" customWidth="1"/>
    <col min="14350" max="14350" width="17.109375" customWidth="1"/>
    <col min="14351" max="14351" width="25" customWidth="1"/>
    <col min="14352" max="14353" width="15.44140625" customWidth="1"/>
    <col min="14354" max="14354" width="17.44140625" customWidth="1"/>
    <col min="14355" max="14355" width="24.109375" customWidth="1"/>
    <col min="14593" max="14593" width="8.109375" customWidth="1"/>
    <col min="14594" max="14601" width="0" hidden="1" customWidth="1"/>
    <col min="14602" max="14602" width="10" customWidth="1"/>
    <col min="14603" max="14603" width="9.33203125" customWidth="1"/>
    <col min="14604" max="14604" width="20.109375" customWidth="1"/>
    <col min="14605" max="14605" width="13.33203125" customWidth="1"/>
    <col min="14606" max="14606" width="17.109375" customWidth="1"/>
    <col min="14607" max="14607" width="25" customWidth="1"/>
    <col min="14608" max="14609" width="15.44140625" customWidth="1"/>
    <col min="14610" max="14610" width="17.44140625" customWidth="1"/>
    <col min="14611" max="14611" width="24.109375" customWidth="1"/>
    <col min="14849" max="14849" width="8.109375" customWidth="1"/>
    <col min="14850" max="14857" width="0" hidden="1" customWidth="1"/>
    <col min="14858" max="14858" width="10" customWidth="1"/>
    <col min="14859" max="14859" width="9.33203125" customWidth="1"/>
    <col min="14860" max="14860" width="20.109375" customWidth="1"/>
    <col min="14861" max="14861" width="13.33203125" customWidth="1"/>
    <col min="14862" max="14862" width="17.109375" customWidth="1"/>
    <col min="14863" max="14863" width="25" customWidth="1"/>
    <col min="14864" max="14865" width="15.44140625" customWidth="1"/>
    <col min="14866" max="14866" width="17.44140625" customWidth="1"/>
    <col min="14867" max="14867" width="24.109375" customWidth="1"/>
    <col min="15105" max="15105" width="8.109375" customWidth="1"/>
    <col min="15106" max="15113" width="0" hidden="1" customWidth="1"/>
    <col min="15114" max="15114" width="10" customWidth="1"/>
    <col min="15115" max="15115" width="9.33203125" customWidth="1"/>
    <col min="15116" max="15116" width="20.109375" customWidth="1"/>
    <col min="15117" max="15117" width="13.33203125" customWidth="1"/>
    <col min="15118" max="15118" width="17.109375" customWidth="1"/>
    <col min="15119" max="15119" width="25" customWidth="1"/>
    <col min="15120" max="15121" width="15.44140625" customWidth="1"/>
    <col min="15122" max="15122" width="17.44140625" customWidth="1"/>
    <col min="15123" max="15123" width="24.109375" customWidth="1"/>
    <col min="15361" max="15361" width="8.109375" customWidth="1"/>
    <col min="15362" max="15369" width="0" hidden="1" customWidth="1"/>
    <col min="15370" max="15370" width="10" customWidth="1"/>
    <col min="15371" max="15371" width="9.33203125" customWidth="1"/>
    <col min="15372" max="15372" width="20.109375" customWidth="1"/>
    <col min="15373" max="15373" width="13.33203125" customWidth="1"/>
    <col min="15374" max="15374" width="17.109375" customWidth="1"/>
    <col min="15375" max="15375" width="25" customWidth="1"/>
    <col min="15376" max="15377" width="15.44140625" customWidth="1"/>
    <col min="15378" max="15378" width="17.44140625" customWidth="1"/>
    <col min="15379" max="15379" width="24.109375" customWidth="1"/>
    <col min="15617" max="15617" width="8.109375" customWidth="1"/>
    <col min="15618" max="15625" width="0" hidden="1" customWidth="1"/>
    <col min="15626" max="15626" width="10" customWidth="1"/>
    <col min="15627" max="15627" width="9.33203125" customWidth="1"/>
    <col min="15628" max="15628" width="20.109375" customWidth="1"/>
    <col min="15629" max="15629" width="13.33203125" customWidth="1"/>
    <col min="15630" max="15630" width="17.109375" customWidth="1"/>
    <col min="15631" max="15631" width="25" customWidth="1"/>
    <col min="15632" max="15633" width="15.44140625" customWidth="1"/>
    <col min="15634" max="15634" width="17.44140625" customWidth="1"/>
    <col min="15635" max="15635" width="24.109375" customWidth="1"/>
    <col min="15873" max="15873" width="8.109375" customWidth="1"/>
    <col min="15874" max="15881" width="0" hidden="1" customWidth="1"/>
    <col min="15882" max="15882" width="10" customWidth="1"/>
    <col min="15883" max="15883" width="9.33203125" customWidth="1"/>
    <col min="15884" max="15884" width="20.109375" customWidth="1"/>
    <col min="15885" max="15885" width="13.33203125" customWidth="1"/>
    <col min="15886" max="15886" width="17.109375" customWidth="1"/>
    <col min="15887" max="15887" width="25" customWidth="1"/>
    <col min="15888" max="15889" width="15.44140625" customWidth="1"/>
    <col min="15890" max="15890" width="17.44140625" customWidth="1"/>
    <col min="15891" max="15891" width="24.109375" customWidth="1"/>
    <col min="16129" max="16129" width="8.109375" customWidth="1"/>
    <col min="16130" max="16137" width="0" hidden="1" customWidth="1"/>
    <col min="16138" max="16138" width="10" customWidth="1"/>
    <col min="16139" max="16139" width="9.33203125" customWidth="1"/>
    <col min="16140" max="16140" width="20.109375" customWidth="1"/>
    <col min="16141" max="16141" width="13.33203125" customWidth="1"/>
    <col min="16142" max="16142" width="17.109375" customWidth="1"/>
    <col min="16143" max="16143" width="25" customWidth="1"/>
    <col min="16144" max="16145" width="15.44140625" customWidth="1"/>
    <col min="16146" max="16146" width="17.44140625" customWidth="1"/>
    <col min="16147" max="16147" width="24.109375" customWidth="1"/>
  </cols>
  <sheetData>
    <row r="1" spans="1:22" ht="17.25" customHeight="1">
      <c r="A1" s="1179" t="s">
        <v>3575</v>
      </c>
      <c r="B1" s="1179"/>
      <c r="C1" s="1179"/>
      <c r="D1" s="1179"/>
      <c r="E1" s="1179"/>
      <c r="F1" s="1180"/>
      <c r="G1" s="1180"/>
      <c r="H1" s="1180"/>
      <c r="I1" s="1180"/>
      <c r="J1" s="1180"/>
      <c r="K1" s="1180"/>
      <c r="L1" s="1180"/>
      <c r="M1" s="1180"/>
      <c r="N1" s="1180"/>
      <c r="O1" s="1180"/>
      <c r="P1" s="1180"/>
      <c r="Q1" s="1180"/>
      <c r="R1" s="1180"/>
      <c r="S1" s="1180"/>
    </row>
    <row r="2" spans="1:22" ht="13.5" customHeight="1">
      <c r="A2" s="1181" t="s">
        <v>3576</v>
      </c>
      <c r="B2" s="1182"/>
      <c r="C2" s="1182"/>
      <c r="D2" s="1182"/>
      <c r="E2" s="1182"/>
      <c r="F2" s="1182"/>
      <c r="G2" s="1182"/>
      <c r="H2" s="584"/>
      <c r="I2" s="584"/>
      <c r="J2" s="1183" t="s">
        <v>1216</v>
      </c>
      <c r="K2" s="1184"/>
      <c r="L2" s="1184"/>
      <c r="M2" s="1184"/>
      <c r="N2" s="1183" t="s">
        <v>3577</v>
      </c>
      <c r="O2" s="1185"/>
      <c r="P2" s="1183" t="s">
        <v>3578</v>
      </c>
      <c r="Q2" s="1186" t="s">
        <v>3579</v>
      </c>
      <c r="R2" s="1183" t="s">
        <v>3580</v>
      </c>
      <c r="S2" s="1183" t="s">
        <v>3581</v>
      </c>
      <c r="T2" s="585"/>
      <c r="U2" s="585"/>
      <c r="V2" s="585"/>
    </row>
    <row r="3" spans="1:22" ht="13.5" customHeight="1">
      <c r="A3" s="1182"/>
      <c r="B3" s="1182"/>
      <c r="C3" s="1182"/>
      <c r="D3" s="1182"/>
      <c r="E3" s="1182"/>
      <c r="F3" s="1182"/>
      <c r="G3" s="1182"/>
      <c r="H3" s="584"/>
      <c r="I3" s="584"/>
      <c r="J3" s="1184"/>
      <c r="K3" s="1184"/>
      <c r="L3" s="1184"/>
      <c r="M3" s="1184"/>
      <c r="N3" s="1183"/>
      <c r="O3" s="1185"/>
      <c r="P3" s="1182"/>
      <c r="Q3" s="1187"/>
      <c r="R3" s="1182"/>
      <c r="S3" s="1182"/>
      <c r="T3" s="585"/>
      <c r="U3" s="585"/>
      <c r="V3" s="585"/>
    </row>
    <row r="4" spans="1:22" ht="15" customHeight="1">
      <c r="A4" s="1188" t="s">
        <v>1306</v>
      </c>
      <c r="B4" s="1189"/>
      <c r="C4" s="1189"/>
      <c r="D4" s="1189"/>
      <c r="E4" s="1189"/>
      <c r="F4" s="1189"/>
      <c r="G4" s="1189"/>
      <c r="H4" s="1189"/>
      <c r="I4" s="1190"/>
      <c r="J4" s="1200" t="s">
        <v>3582</v>
      </c>
      <c r="K4" s="1202" t="s">
        <v>1321</v>
      </c>
      <c r="L4" s="1200" t="s">
        <v>1325</v>
      </c>
      <c r="M4" s="1206" t="s">
        <v>3583</v>
      </c>
      <c r="N4" s="1206" t="s">
        <v>3584</v>
      </c>
      <c r="O4" s="1207"/>
      <c r="P4" s="586">
        <f>3271709.6+Q4</f>
        <v>13037000</v>
      </c>
      <c r="Q4" s="587">
        <v>9765290.4000000004</v>
      </c>
      <c r="R4" s="587">
        <f t="shared" ref="R4:R10" si="0">P4-Q4</f>
        <v>3271709.5999999996</v>
      </c>
      <c r="S4" s="1214" t="s">
        <v>3585</v>
      </c>
      <c r="T4" s="585"/>
      <c r="U4" s="585"/>
      <c r="V4" s="585"/>
    </row>
    <row r="5" spans="1:22" ht="15" customHeight="1">
      <c r="A5" s="1191"/>
      <c r="B5" s="1192"/>
      <c r="C5" s="1192"/>
      <c r="D5" s="1192"/>
      <c r="E5" s="1192"/>
      <c r="F5" s="1192"/>
      <c r="G5" s="1192"/>
      <c r="H5" s="1192"/>
      <c r="I5" s="1193"/>
      <c r="J5" s="1201"/>
      <c r="K5" s="1203"/>
      <c r="L5" s="1206"/>
      <c r="M5" s="1206"/>
      <c r="N5" s="1206" t="s">
        <v>2165</v>
      </c>
      <c r="O5" s="1207"/>
      <c r="P5" s="586">
        <f>83702.6+Q5</f>
        <v>17044000</v>
      </c>
      <c r="Q5" s="587">
        <v>16960297.399999999</v>
      </c>
      <c r="R5" s="587">
        <f t="shared" si="0"/>
        <v>83702.60000000149</v>
      </c>
      <c r="S5" s="1215"/>
      <c r="T5" s="585"/>
      <c r="U5" s="585"/>
      <c r="V5" s="585"/>
    </row>
    <row r="6" spans="1:22" ht="15" customHeight="1">
      <c r="A6" s="1191"/>
      <c r="B6" s="1192"/>
      <c r="C6" s="1192"/>
      <c r="D6" s="1192"/>
      <c r="E6" s="1192"/>
      <c r="F6" s="1192"/>
      <c r="G6" s="1192"/>
      <c r="H6" s="1192"/>
      <c r="I6" s="1193"/>
      <c r="J6" s="1201"/>
      <c r="K6" s="1203"/>
      <c r="L6" s="1206"/>
      <c r="M6" s="1206"/>
      <c r="N6" s="1206" t="s">
        <v>2168</v>
      </c>
      <c r="O6" s="1207"/>
      <c r="P6" s="586">
        <f>163835+Q6</f>
        <v>3200555</v>
      </c>
      <c r="Q6" s="587">
        <v>3036720</v>
      </c>
      <c r="R6" s="587">
        <f t="shared" si="0"/>
        <v>163835</v>
      </c>
      <c r="S6" s="1215"/>
      <c r="T6" s="585"/>
      <c r="U6" s="585"/>
      <c r="V6" s="585"/>
    </row>
    <row r="7" spans="1:22" ht="15" customHeight="1">
      <c r="A7" s="1191"/>
      <c r="B7" s="1192"/>
      <c r="C7" s="1192"/>
      <c r="D7" s="1192"/>
      <c r="E7" s="1192"/>
      <c r="F7" s="1192"/>
      <c r="G7" s="1192"/>
      <c r="H7" s="1192"/>
      <c r="I7" s="1193"/>
      <c r="J7" s="1201"/>
      <c r="K7" s="1203"/>
      <c r="L7" s="1206"/>
      <c r="M7" s="1206"/>
      <c r="N7" s="1206" t="s">
        <v>2171</v>
      </c>
      <c r="O7" s="1207"/>
      <c r="P7" s="586">
        <f>71087.18+Q7</f>
        <v>19473000</v>
      </c>
      <c r="Q7" s="587">
        <v>19401912.82</v>
      </c>
      <c r="R7" s="587">
        <f t="shared" si="0"/>
        <v>71087.179999999702</v>
      </c>
      <c r="S7" s="1215"/>
      <c r="T7" s="585"/>
      <c r="U7" s="585"/>
      <c r="V7" s="585"/>
    </row>
    <row r="8" spans="1:22" ht="15" customHeight="1">
      <c r="A8" s="1191"/>
      <c r="B8" s="1192"/>
      <c r="C8" s="1192"/>
      <c r="D8" s="1192"/>
      <c r="E8" s="1192"/>
      <c r="F8" s="1192"/>
      <c r="G8" s="1192"/>
      <c r="H8" s="1192"/>
      <c r="I8" s="1193"/>
      <c r="J8" s="1201"/>
      <c r="K8" s="1203"/>
      <c r="L8" s="1206"/>
      <c r="M8" s="1206"/>
      <c r="N8" s="1206" t="s">
        <v>2174</v>
      </c>
      <c r="O8" s="1207"/>
      <c r="P8" s="586">
        <f>0+Q8</f>
        <v>68328</v>
      </c>
      <c r="Q8" s="587">
        <v>68328</v>
      </c>
      <c r="R8" s="587">
        <f t="shared" si="0"/>
        <v>0</v>
      </c>
      <c r="S8" s="1215"/>
      <c r="T8" s="585"/>
      <c r="U8" s="585"/>
      <c r="V8" s="585"/>
    </row>
    <row r="9" spans="1:22" ht="15" customHeight="1">
      <c r="A9" s="1191"/>
      <c r="B9" s="1192"/>
      <c r="C9" s="1192"/>
      <c r="D9" s="1192"/>
      <c r="E9" s="1192"/>
      <c r="F9" s="1192"/>
      <c r="G9" s="1192"/>
      <c r="H9" s="1192"/>
      <c r="I9" s="1193"/>
      <c r="J9" s="1201"/>
      <c r="K9" s="1203"/>
      <c r="L9" s="1206"/>
      <c r="M9" s="1206"/>
      <c r="N9" s="1206" t="s">
        <v>2177</v>
      </c>
      <c r="O9" s="1207"/>
      <c r="P9" s="586">
        <f>1702.4+Q9</f>
        <v>21996000</v>
      </c>
      <c r="Q9" s="587">
        <v>21994297.600000001</v>
      </c>
      <c r="R9" s="587">
        <f t="shared" si="0"/>
        <v>1702.3999999985099</v>
      </c>
      <c r="S9" s="1215"/>
      <c r="T9" s="585"/>
      <c r="U9" s="585"/>
      <c r="V9" s="585"/>
    </row>
    <row r="10" spans="1:22" ht="15" customHeight="1">
      <c r="A10" s="1191"/>
      <c r="B10" s="1192"/>
      <c r="C10" s="1192"/>
      <c r="D10" s="1192"/>
      <c r="E10" s="1192"/>
      <c r="F10" s="1192"/>
      <c r="G10" s="1192"/>
      <c r="H10" s="1192"/>
      <c r="I10" s="1193"/>
      <c r="J10" s="1201"/>
      <c r="K10" s="1203"/>
      <c r="L10" s="1206"/>
      <c r="M10" s="1206"/>
      <c r="N10" s="1206" t="s">
        <v>2180</v>
      </c>
      <c r="O10" s="1207"/>
      <c r="P10" s="586">
        <f>4053982.57+Q10</f>
        <v>17414573</v>
      </c>
      <c r="Q10" s="587">
        <v>13360590.43</v>
      </c>
      <c r="R10" s="587">
        <f t="shared" si="0"/>
        <v>4053982.5700000003</v>
      </c>
      <c r="S10" s="1215"/>
      <c r="T10" s="585"/>
      <c r="U10" s="585"/>
      <c r="V10" s="585"/>
    </row>
    <row r="11" spans="1:22" ht="15" customHeight="1">
      <c r="A11" s="1191"/>
      <c r="B11" s="1192"/>
      <c r="C11" s="1192"/>
      <c r="D11" s="1192"/>
      <c r="E11" s="1192"/>
      <c r="F11" s="1192"/>
      <c r="G11" s="1192"/>
      <c r="H11" s="1192"/>
      <c r="I11" s="1193"/>
      <c r="J11" s="1201"/>
      <c r="K11" s="1203"/>
      <c r="L11" s="1210" t="s">
        <v>3586</v>
      </c>
      <c r="M11" s="1207"/>
      <c r="N11" s="1207"/>
      <c r="O11" s="1207"/>
      <c r="P11" s="588">
        <f>SUM(P4:P10)</f>
        <v>92233456</v>
      </c>
      <c r="Q11" s="588">
        <f>SUM(Q4:Q10)</f>
        <v>84587436.650000006</v>
      </c>
      <c r="R11" s="588">
        <f>SUM(R4:R10)</f>
        <v>7646019.3499999996</v>
      </c>
      <c r="S11" s="1215"/>
      <c r="T11" s="585"/>
      <c r="U11" s="585"/>
      <c r="V11" s="585"/>
    </row>
    <row r="12" spans="1:22" ht="15" customHeight="1">
      <c r="A12" s="1191"/>
      <c r="B12" s="1192"/>
      <c r="C12" s="1192"/>
      <c r="D12" s="1192"/>
      <c r="E12" s="1192"/>
      <c r="F12" s="1192"/>
      <c r="G12" s="1192"/>
      <c r="H12" s="1192"/>
      <c r="I12" s="1193"/>
      <c r="J12" s="1208" t="s">
        <v>3587</v>
      </c>
      <c r="K12" s="1204"/>
      <c r="L12" s="1200" t="s">
        <v>1323</v>
      </c>
      <c r="M12" s="1206" t="s">
        <v>3583</v>
      </c>
      <c r="N12" s="1206" t="s">
        <v>3584</v>
      </c>
      <c r="O12" s="1207"/>
      <c r="P12" s="586">
        <f>7446480+Q12</f>
        <v>10089000</v>
      </c>
      <c r="Q12" s="587">
        <v>2642520</v>
      </c>
      <c r="R12" s="587">
        <f t="shared" ref="R12:R19" si="1">P12-Q12</f>
        <v>7446480</v>
      </c>
      <c r="S12" s="1215"/>
      <c r="T12" s="585"/>
      <c r="U12" s="585"/>
      <c r="V12" s="585"/>
    </row>
    <row r="13" spans="1:22" ht="15" customHeight="1">
      <c r="A13" s="1191"/>
      <c r="B13" s="1192"/>
      <c r="C13" s="1192"/>
      <c r="D13" s="1192"/>
      <c r="E13" s="1192"/>
      <c r="F13" s="1192"/>
      <c r="G13" s="1192"/>
      <c r="H13" s="1192"/>
      <c r="I13" s="1193"/>
      <c r="J13" s="1209"/>
      <c r="K13" s="1204"/>
      <c r="L13" s="1206"/>
      <c r="M13" s="1206"/>
      <c r="N13" s="1206" t="s">
        <v>2165</v>
      </c>
      <c r="O13" s="1207"/>
      <c r="P13" s="586">
        <f>88158.8+Q13</f>
        <v>2151146</v>
      </c>
      <c r="Q13" s="587">
        <v>2062987.2</v>
      </c>
      <c r="R13" s="587">
        <f t="shared" si="1"/>
        <v>88158.800000000047</v>
      </c>
      <c r="S13" s="1215"/>
      <c r="T13" s="585"/>
      <c r="U13" s="585"/>
      <c r="V13" s="585"/>
    </row>
    <row r="14" spans="1:22" ht="15" customHeight="1">
      <c r="A14" s="1191"/>
      <c r="B14" s="1192"/>
      <c r="C14" s="1192"/>
      <c r="D14" s="1192"/>
      <c r="E14" s="1192"/>
      <c r="F14" s="1192"/>
      <c r="G14" s="1192"/>
      <c r="H14" s="1192"/>
      <c r="I14" s="1193"/>
      <c r="J14" s="1209"/>
      <c r="K14" s="1204"/>
      <c r="L14" s="1206"/>
      <c r="M14" s="1206"/>
      <c r="N14" s="1206" t="s">
        <v>2168</v>
      </c>
      <c r="O14" s="1207"/>
      <c r="P14" s="586">
        <f>0+Q14</f>
        <v>19000000</v>
      </c>
      <c r="Q14" s="587">
        <v>19000000</v>
      </c>
      <c r="R14" s="587">
        <f t="shared" si="1"/>
        <v>0</v>
      </c>
      <c r="S14" s="1215"/>
      <c r="T14" s="585"/>
      <c r="U14" s="585"/>
      <c r="V14" s="585"/>
    </row>
    <row r="15" spans="1:22" ht="15" customHeight="1">
      <c r="A15" s="1191"/>
      <c r="B15" s="1192"/>
      <c r="C15" s="1192"/>
      <c r="D15" s="1192"/>
      <c r="E15" s="1192"/>
      <c r="F15" s="1192"/>
      <c r="G15" s="1192"/>
      <c r="H15" s="1192"/>
      <c r="I15" s="1193"/>
      <c r="J15" s="1209"/>
      <c r="K15" s="1204"/>
      <c r="L15" s="1206"/>
      <c r="M15" s="1206"/>
      <c r="N15" s="1206" t="s">
        <v>2171</v>
      </c>
      <c r="O15" s="1207"/>
      <c r="P15" s="586">
        <f>17543970.6+Q15</f>
        <v>22677485</v>
      </c>
      <c r="Q15" s="587">
        <v>5133514.4000000004</v>
      </c>
      <c r="R15" s="587">
        <f t="shared" si="1"/>
        <v>17543970.600000001</v>
      </c>
      <c r="S15" s="1215"/>
      <c r="T15" s="585"/>
      <c r="U15" s="585"/>
      <c r="V15" s="585"/>
    </row>
    <row r="16" spans="1:22" ht="15" customHeight="1">
      <c r="A16" s="1191"/>
      <c r="B16" s="1192"/>
      <c r="C16" s="1192"/>
      <c r="D16" s="1192"/>
      <c r="E16" s="1192"/>
      <c r="F16" s="1192"/>
      <c r="G16" s="1192"/>
      <c r="H16" s="1192"/>
      <c r="I16" s="1193"/>
      <c r="J16" s="1209"/>
      <c r="K16" s="1204"/>
      <c r="L16" s="1206"/>
      <c r="M16" s="1206"/>
      <c r="N16" s="1206" t="s">
        <v>2174</v>
      </c>
      <c r="O16" s="1207"/>
      <c r="P16" s="586">
        <f>7627774.6+Q16</f>
        <v>28636672</v>
      </c>
      <c r="Q16" s="587">
        <v>21008897.399999999</v>
      </c>
      <c r="R16" s="587">
        <f t="shared" si="1"/>
        <v>7627774.6000000015</v>
      </c>
      <c r="S16" s="1215"/>
      <c r="T16" s="585"/>
      <c r="U16" s="585"/>
      <c r="V16" s="585"/>
    </row>
    <row r="17" spans="1:22" ht="15" customHeight="1">
      <c r="A17" s="1191"/>
      <c r="B17" s="1192"/>
      <c r="C17" s="1192"/>
      <c r="D17" s="1192"/>
      <c r="E17" s="1192"/>
      <c r="F17" s="1192"/>
      <c r="G17" s="1192"/>
      <c r="H17" s="1192"/>
      <c r="I17" s="1193"/>
      <c r="J17" s="1209"/>
      <c r="K17" s="1204"/>
      <c r="L17" s="1206"/>
      <c r="M17" s="1206"/>
      <c r="N17" s="1206" t="s">
        <v>2180</v>
      </c>
      <c r="O17" s="1207"/>
      <c r="P17" s="586">
        <f>964126.4+Q17</f>
        <v>3269000</v>
      </c>
      <c r="Q17" s="587">
        <v>2304873.6</v>
      </c>
      <c r="R17" s="587">
        <f t="shared" si="1"/>
        <v>964126.39999999991</v>
      </c>
      <c r="S17" s="1215"/>
      <c r="T17" s="585"/>
      <c r="U17" s="585"/>
      <c r="V17" s="585"/>
    </row>
    <row r="18" spans="1:22" ht="15" customHeight="1">
      <c r="A18" s="1191"/>
      <c r="B18" s="1192"/>
      <c r="C18" s="1192"/>
      <c r="D18" s="1192"/>
      <c r="E18" s="1192"/>
      <c r="F18" s="1192"/>
      <c r="G18" s="1192"/>
      <c r="H18" s="1192"/>
      <c r="I18" s="1193"/>
      <c r="J18" s="1209"/>
      <c r="K18" s="1204"/>
      <c r="L18" s="1210" t="s">
        <v>3588</v>
      </c>
      <c r="M18" s="1207"/>
      <c r="N18" s="1207"/>
      <c r="O18" s="1207"/>
      <c r="P18" s="588">
        <f>SUM(P12:P17)</f>
        <v>85823303</v>
      </c>
      <c r="Q18" s="588">
        <f>SUM(Q12:Q17)</f>
        <v>52152792.600000001</v>
      </c>
      <c r="R18" s="588">
        <f>SUM(R12:R17)</f>
        <v>33670510.400000006</v>
      </c>
      <c r="S18" s="1215"/>
      <c r="T18" s="585"/>
      <c r="U18" s="585"/>
      <c r="V18" s="585"/>
    </row>
    <row r="19" spans="1:22" ht="15" customHeight="1">
      <c r="A19" s="1194"/>
      <c r="B19" s="1195"/>
      <c r="C19" s="1195"/>
      <c r="D19" s="1195"/>
      <c r="E19" s="1195"/>
      <c r="F19" s="1195"/>
      <c r="G19" s="1195"/>
      <c r="H19" s="1195"/>
      <c r="I19" s="1196"/>
      <c r="J19" s="1204"/>
      <c r="K19" s="1204"/>
      <c r="L19" s="589" t="s">
        <v>3589</v>
      </c>
      <c r="M19" s="590" t="s">
        <v>3590</v>
      </c>
      <c r="N19" s="1206" t="s">
        <v>2177</v>
      </c>
      <c r="O19" s="1207"/>
      <c r="P19" s="586">
        <f>1000000+Q19</f>
        <v>1000000</v>
      </c>
      <c r="Q19" s="586">
        <v>0</v>
      </c>
      <c r="R19" s="587">
        <f t="shared" si="1"/>
        <v>1000000</v>
      </c>
      <c r="S19" s="1216"/>
      <c r="T19" s="585"/>
      <c r="U19" s="585"/>
      <c r="V19" s="585"/>
    </row>
    <row r="20" spans="1:22" ht="15" customHeight="1">
      <c r="A20" s="1197"/>
      <c r="B20" s="1198"/>
      <c r="C20" s="1198"/>
      <c r="D20" s="1198"/>
      <c r="E20" s="1198"/>
      <c r="F20" s="1198"/>
      <c r="G20" s="1198"/>
      <c r="H20" s="1198"/>
      <c r="I20" s="1199"/>
      <c r="J20" s="1205"/>
      <c r="K20" s="1205"/>
      <c r="L20" s="1211" t="s">
        <v>3591</v>
      </c>
      <c r="M20" s="1212"/>
      <c r="N20" s="1212"/>
      <c r="O20" s="1213"/>
      <c r="P20" s="588">
        <f>SUM(P19)</f>
        <v>1000000</v>
      </c>
      <c r="Q20" s="588">
        <f>SUM(Q19)</f>
        <v>0</v>
      </c>
      <c r="R20" s="588">
        <f>SUM(R19)</f>
        <v>1000000</v>
      </c>
      <c r="S20" s="1187"/>
      <c r="T20" s="585"/>
      <c r="U20" s="585"/>
      <c r="V20" s="585"/>
    </row>
    <row r="21" spans="1:22" ht="21" customHeight="1">
      <c r="A21" s="1217" t="s">
        <v>3592</v>
      </c>
      <c r="B21" s="1217"/>
      <c r="C21" s="1217"/>
      <c r="D21" s="1217"/>
      <c r="E21" s="1217"/>
      <c r="F21" s="1217"/>
      <c r="G21" s="1217"/>
      <c r="H21" s="1217"/>
      <c r="I21" s="1217"/>
      <c r="J21" s="1217"/>
      <c r="K21" s="1217"/>
      <c r="L21" s="1217"/>
      <c r="M21" s="1217"/>
      <c r="N21" s="1217"/>
      <c r="O21" s="1217"/>
      <c r="P21" s="591">
        <f>P11+P18+P20</f>
        <v>179056759</v>
      </c>
      <c r="Q21" s="591">
        <f>Q11+Q18+Q20</f>
        <v>136740229.25</v>
      </c>
      <c r="R21" s="591">
        <f>R11+R18+R20</f>
        <v>42316529.750000007</v>
      </c>
      <c r="S21" s="592"/>
      <c r="T21" s="585"/>
      <c r="U21" s="585"/>
      <c r="V21" s="585"/>
    </row>
    <row r="22" spans="1:22" ht="24.6" customHeight="1">
      <c r="A22" s="1218" t="s">
        <v>1354</v>
      </c>
      <c r="B22" s="593"/>
      <c r="C22" s="593"/>
      <c r="D22" s="593"/>
      <c r="E22" s="593"/>
      <c r="F22" s="593"/>
      <c r="G22" s="593"/>
      <c r="H22" s="593"/>
      <c r="I22" s="593"/>
      <c r="J22" s="1200" t="s">
        <v>3582</v>
      </c>
      <c r="K22" s="1206" t="s">
        <v>1321</v>
      </c>
      <c r="L22" s="589" t="s">
        <v>1326</v>
      </c>
      <c r="M22" s="594" t="s">
        <v>1755</v>
      </c>
      <c r="N22" s="1206" t="s">
        <v>1767</v>
      </c>
      <c r="O22" s="1207"/>
      <c r="P22" s="587">
        <v>1430526</v>
      </c>
      <c r="Q22" s="587">
        <v>1430526</v>
      </c>
      <c r="R22" s="587">
        <f>P22-Q22</f>
        <v>0</v>
      </c>
      <c r="S22" s="595" t="s">
        <v>3593</v>
      </c>
      <c r="T22" s="585"/>
      <c r="U22" s="585"/>
      <c r="V22" s="585"/>
    </row>
    <row r="23" spans="1:22" ht="15" customHeight="1">
      <c r="A23" s="1218"/>
      <c r="B23" s="593"/>
      <c r="C23" s="593"/>
      <c r="D23" s="593"/>
      <c r="E23" s="593"/>
      <c r="F23" s="593"/>
      <c r="G23" s="593"/>
      <c r="H23" s="593"/>
      <c r="I23" s="593"/>
      <c r="J23" s="1200"/>
      <c r="K23" s="1206"/>
      <c r="L23" s="1210" t="s">
        <v>3594</v>
      </c>
      <c r="M23" s="1207"/>
      <c r="N23" s="1207"/>
      <c r="O23" s="1207"/>
      <c r="P23" s="588">
        <f>SUM(P22)</f>
        <v>1430526</v>
      </c>
      <c r="Q23" s="588">
        <f>SUM(Q22)</f>
        <v>1430526</v>
      </c>
      <c r="R23" s="588">
        <f>SUM(R22)</f>
        <v>0</v>
      </c>
      <c r="S23" s="595"/>
      <c r="T23" s="585"/>
      <c r="U23" s="585"/>
      <c r="V23" s="585"/>
    </row>
    <row r="24" spans="1:22" ht="24.6" customHeight="1">
      <c r="A24" s="1218"/>
      <c r="B24" s="593"/>
      <c r="C24" s="593"/>
      <c r="D24" s="593"/>
      <c r="E24" s="593"/>
      <c r="F24" s="593"/>
      <c r="G24" s="593"/>
      <c r="H24" s="593"/>
      <c r="I24" s="593"/>
      <c r="J24" s="1200" t="s">
        <v>3587</v>
      </c>
      <c r="K24" s="1207"/>
      <c r="L24" s="1200" t="s">
        <v>1330</v>
      </c>
      <c r="M24" s="1206" t="s">
        <v>1755</v>
      </c>
      <c r="N24" s="1206" t="s">
        <v>1756</v>
      </c>
      <c r="O24" s="1207"/>
      <c r="P24" s="587">
        <v>2400000</v>
      </c>
      <c r="Q24" s="587">
        <v>2400000</v>
      </c>
      <c r="R24" s="587">
        <f t="shared" ref="R24:R31" si="2">P24-Q24</f>
        <v>0</v>
      </c>
      <c r="S24" s="595" t="s">
        <v>3595</v>
      </c>
      <c r="T24" s="585"/>
      <c r="U24" s="585"/>
      <c r="V24" s="585"/>
    </row>
    <row r="25" spans="1:22" ht="24.6" customHeight="1">
      <c r="A25" s="1218"/>
      <c r="B25" s="593"/>
      <c r="C25" s="593"/>
      <c r="D25" s="593"/>
      <c r="E25" s="593"/>
      <c r="F25" s="593"/>
      <c r="G25" s="593"/>
      <c r="H25" s="593"/>
      <c r="I25" s="593"/>
      <c r="J25" s="1207"/>
      <c r="K25" s="1207"/>
      <c r="L25" s="1207"/>
      <c r="M25" s="1206"/>
      <c r="N25" s="1206" t="s">
        <v>3596</v>
      </c>
      <c r="O25" s="1207"/>
      <c r="P25" s="587">
        <v>379551</v>
      </c>
      <c r="Q25" s="587">
        <v>358962.4</v>
      </c>
      <c r="R25" s="587">
        <f t="shared" si="2"/>
        <v>20588.599999999977</v>
      </c>
      <c r="S25" s="595" t="s">
        <v>3597</v>
      </c>
      <c r="T25" s="585"/>
      <c r="U25" s="585"/>
      <c r="V25" s="585"/>
    </row>
    <row r="26" spans="1:22" ht="24.6" customHeight="1">
      <c r="A26" s="1218"/>
      <c r="B26" s="593"/>
      <c r="C26" s="593"/>
      <c r="D26" s="593"/>
      <c r="E26" s="593"/>
      <c r="F26" s="593"/>
      <c r="G26" s="593"/>
      <c r="H26" s="593"/>
      <c r="I26" s="593"/>
      <c r="J26" s="1207"/>
      <c r="K26" s="1207"/>
      <c r="L26" s="1207"/>
      <c r="M26" s="1206"/>
      <c r="N26" s="1206" t="s">
        <v>3598</v>
      </c>
      <c r="O26" s="1207"/>
      <c r="P26" s="587">
        <v>162620</v>
      </c>
      <c r="Q26" s="587">
        <v>162620</v>
      </c>
      <c r="R26" s="587">
        <f t="shared" si="2"/>
        <v>0</v>
      </c>
      <c r="S26" s="595" t="s">
        <v>3599</v>
      </c>
      <c r="T26" s="585"/>
      <c r="U26" s="585"/>
      <c r="V26" s="585"/>
    </row>
    <row r="27" spans="1:22" ht="24.6" customHeight="1">
      <c r="A27" s="1219"/>
      <c r="B27" s="593"/>
      <c r="C27" s="593"/>
      <c r="D27" s="593"/>
      <c r="E27" s="593"/>
      <c r="F27" s="593"/>
      <c r="G27" s="593"/>
      <c r="H27" s="593"/>
      <c r="I27" s="593"/>
      <c r="J27" s="1207"/>
      <c r="K27" s="1207"/>
      <c r="L27" s="1207"/>
      <c r="M27" s="1206" t="s">
        <v>1755</v>
      </c>
      <c r="N27" s="1206" t="s">
        <v>3600</v>
      </c>
      <c r="O27" s="1207"/>
      <c r="P27" s="587">
        <v>6969477.2999999998</v>
      </c>
      <c r="Q27" s="587">
        <f>5915585.93+1053891.37</f>
        <v>6969477.2999999998</v>
      </c>
      <c r="R27" s="587">
        <f t="shared" si="2"/>
        <v>0</v>
      </c>
      <c r="S27" s="595" t="s">
        <v>3597</v>
      </c>
      <c r="T27" s="585"/>
      <c r="U27" s="585"/>
      <c r="V27" s="585"/>
    </row>
    <row r="28" spans="1:22" ht="36.75" customHeight="1">
      <c r="A28" s="1219"/>
      <c r="B28" s="593"/>
      <c r="C28" s="593"/>
      <c r="D28" s="593"/>
      <c r="E28" s="593"/>
      <c r="F28" s="593"/>
      <c r="G28" s="593"/>
      <c r="H28" s="593"/>
      <c r="I28" s="593"/>
      <c r="J28" s="1207"/>
      <c r="K28" s="1207"/>
      <c r="L28" s="1207"/>
      <c r="M28" s="1206"/>
      <c r="N28" s="1206" t="s">
        <v>1767</v>
      </c>
      <c r="O28" s="1207"/>
      <c r="P28" s="587">
        <f>8500000-2400000-1430526+3524479</f>
        <v>8193953</v>
      </c>
      <c r="Q28" s="587">
        <v>7975800.2699999996</v>
      </c>
      <c r="R28" s="587">
        <f t="shared" si="2"/>
        <v>218152.73000000045</v>
      </c>
      <c r="S28" s="595" t="s">
        <v>3601</v>
      </c>
      <c r="T28" s="585"/>
      <c r="U28" s="585"/>
      <c r="V28" s="585"/>
    </row>
    <row r="29" spans="1:22" ht="27" customHeight="1">
      <c r="A29" s="1219"/>
      <c r="B29" s="593"/>
      <c r="C29" s="593"/>
      <c r="D29" s="593"/>
      <c r="E29" s="593"/>
      <c r="F29" s="593"/>
      <c r="G29" s="593"/>
      <c r="H29" s="593"/>
      <c r="I29" s="593"/>
      <c r="J29" s="1207"/>
      <c r="K29" s="1207"/>
      <c r="L29" s="1207"/>
      <c r="M29" s="1206"/>
      <c r="N29" s="1206" t="s">
        <v>3602</v>
      </c>
      <c r="O29" s="1207"/>
      <c r="P29" s="587">
        <f>1500000+499542</f>
        <v>1999542</v>
      </c>
      <c r="Q29" s="587">
        <v>1983846</v>
      </c>
      <c r="R29" s="587">
        <f t="shared" si="2"/>
        <v>15696</v>
      </c>
      <c r="S29" s="595" t="s">
        <v>3603</v>
      </c>
      <c r="T29" s="585"/>
      <c r="U29" s="585"/>
      <c r="V29" s="585"/>
    </row>
    <row r="30" spans="1:22" ht="24.6" customHeight="1">
      <c r="A30" s="1219"/>
      <c r="B30" s="593"/>
      <c r="C30" s="593"/>
      <c r="D30" s="593"/>
      <c r="E30" s="593"/>
      <c r="F30" s="593"/>
      <c r="G30" s="593"/>
      <c r="H30" s="593"/>
      <c r="I30" s="593"/>
      <c r="J30" s="1207"/>
      <c r="K30" s="1207"/>
      <c r="L30" s="1207"/>
      <c r="M30" s="1207"/>
      <c r="N30" s="1206" t="s">
        <v>3604</v>
      </c>
      <c r="O30" s="1207"/>
      <c r="P30" s="587">
        <v>1425000</v>
      </c>
      <c r="Q30" s="587">
        <v>1230184.3400000001</v>
      </c>
      <c r="R30" s="587">
        <f t="shared" si="2"/>
        <v>194815.65999999992</v>
      </c>
      <c r="S30" s="595" t="s">
        <v>3605</v>
      </c>
      <c r="T30" s="585"/>
      <c r="U30" s="585"/>
      <c r="V30" s="585"/>
    </row>
    <row r="31" spans="1:22" ht="24.6" customHeight="1">
      <c r="A31" s="1219"/>
      <c r="B31" s="593"/>
      <c r="C31" s="593"/>
      <c r="D31" s="593"/>
      <c r="E31" s="593"/>
      <c r="F31" s="593"/>
      <c r="G31" s="593"/>
      <c r="H31" s="593"/>
      <c r="I31" s="593"/>
      <c r="J31" s="1207"/>
      <c r="K31" s="1207"/>
      <c r="L31" s="1207"/>
      <c r="M31" s="1207"/>
      <c r="N31" s="1200" t="s">
        <v>3606</v>
      </c>
      <c r="O31" s="1207"/>
      <c r="P31" s="587">
        <v>4000000</v>
      </c>
      <c r="Q31" s="587">
        <v>0</v>
      </c>
      <c r="R31" s="587">
        <f t="shared" si="2"/>
        <v>4000000</v>
      </c>
      <c r="S31" s="595" t="s">
        <v>3599</v>
      </c>
      <c r="T31" s="585"/>
      <c r="U31" s="585"/>
      <c r="V31" s="585"/>
    </row>
    <row r="32" spans="1:22" ht="15" customHeight="1">
      <c r="A32" s="1219"/>
      <c r="B32" s="593"/>
      <c r="C32" s="593"/>
      <c r="D32" s="593"/>
      <c r="E32" s="593"/>
      <c r="F32" s="593"/>
      <c r="G32" s="593"/>
      <c r="H32" s="593"/>
      <c r="I32" s="593"/>
      <c r="J32" s="1207"/>
      <c r="K32" s="1207"/>
      <c r="L32" s="1210" t="s">
        <v>3607</v>
      </c>
      <c r="M32" s="1207"/>
      <c r="N32" s="1207"/>
      <c r="O32" s="1207"/>
      <c r="P32" s="588">
        <f>SUM(P24:P31)</f>
        <v>25530143.300000001</v>
      </c>
      <c r="Q32" s="588">
        <f>SUM(Q24:Q31)</f>
        <v>21080890.309999999</v>
      </c>
      <c r="R32" s="588">
        <f>SUM(R24:R31)</f>
        <v>4449252.99</v>
      </c>
      <c r="S32" s="595"/>
      <c r="T32" s="585"/>
      <c r="U32" s="585"/>
      <c r="V32" s="585"/>
    </row>
    <row r="33" spans="1:22" ht="15" customHeight="1">
      <c r="A33" s="1219"/>
      <c r="B33" s="593"/>
      <c r="C33" s="593"/>
      <c r="D33" s="593"/>
      <c r="E33" s="593"/>
      <c r="F33" s="593"/>
      <c r="G33" s="593"/>
      <c r="H33" s="593"/>
      <c r="I33" s="593"/>
      <c r="J33" s="1220" t="s">
        <v>3608</v>
      </c>
      <c r="K33" s="1221"/>
      <c r="L33" s="1221"/>
      <c r="M33" s="1221"/>
      <c r="N33" s="1221"/>
      <c r="O33" s="1221"/>
      <c r="P33" s="588">
        <f>25000000-8500000</f>
        <v>16500000</v>
      </c>
      <c r="Q33" s="588">
        <v>0</v>
      </c>
      <c r="R33" s="588">
        <f>P33-Q33</f>
        <v>16500000</v>
      </c>
      <c r="S33" s="595" t="s">
        <v>3609</v>
      </c>
      <c r="T33" s="585"/>
      <c r="U33" s="585"/>
      <c r="V33" s="585"/>
    </row>
    <row r="34" spans="1:22" ht="21" customHeight="1">
      <c r="A34" s="1217" t="s">
        <v>3610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591">
        <f>P23+P32+P33</f>
        <v>43460669.299999997</v>
      </c>
      <c r="Q34" s="591">
        <f>Q23+Q32+Q33</f>
        <v>22511416.309999999</v>
      </c>
      <c r="R34" s="591">
        <f>R23+R32+R33</f>
        <v>20949252.990000002</v>
      </c>
      <c r="S34" s="595"/>
      <c r="T34" s="585"/>
      <c r="U34" s="585"/>
      <c r="V34" s="585"/>
    </row>
    <row r="35" spans="1:22" ht="37.5" customHeight="1">
      <c r="A35" s="1218" t="s">
        <v>1401</v>
      </c>
      <c r="B35" s="1218"/>
      <c r="C35" s="1218"/>
      <c r="D35" s="1218"/>
      <c r="E35" s="1218"/>
      <c r="F35" s="1218"/>
      <c r="G35" s="1218"/>
      <c r="H35" s="1218"/>
      <c r="I35" s="1218"/>
      <c r="J35" s="1224" t="s">
        <v>3587</v>
      </c>
      <c r="K35" s="1206" t="s">
        <v>1321</v>
      </c>
      <c r="L35" s="589" t="s">
        <v>1328</v>
      </c>
      <c r="M35" s="594" t="s">
        <v>3611</v>
      </c>
      <c r="N35" s="1206" t="s">
        <v>3612</v>
      </c>
      <c r="O35" s="1207"/>
      <c r="P35" s="587">
        <v>903550</v>
      </c>
      <c r="Q35" s="587">
        <v>903550</v>
      </c>
      <c r="R35" s="587">
        <f>P35-Q35</f>
        <v>0</v>
      </c>
      <c r="S35" s="595" t="s">
        <v>3613</v>
      </c>
      <c r="T35" s="585"/>
      <c r="U35" s="585"/>
      <c r="V35" s="585"/>
    </row>
    <row r="36" spans="1:22" ht="15" customHeight="1">
      <c r="A36" s="1222"/>
      <c r="B36" s="1222"/>
      <c r="C36" s="1222"/>
      <c r="D36" s="1222"/>
      <c r="E36" s="1222"/>
      <c r="F36" s="1222"/>
      <c r="G36" s="1222"/>
      <c r="H36" s="1222"/>
      <c r="I36" s="1222"/>
      <c r="J36" s="1224"/>
      <c r="K36" s="1206"/>
      <c r="L36" s="1210" t="s">
        <v>3614</v>
      </c>
      <c r="M36" s="1207"/>
      <c r="N36" s="1207"/>
      <c r="O36" s="1207"/>
      <c r="P36" s="588">
        <f>P35</f>
        <v>903550</v>
      </c>
      <c r="Q36" s="588">
        <f>Q35</f>
        <v>903550</v>
      </c>
      <c r="R36" s="588">
        <f>R35</f>
        <v>0</v>
      </c>
      <c r="S36" s="595"/>
      <c r="T36" s="585"/>
      <c r="U36" s="585"/>
      <c r="V36" s="585"/>
    </row>
    <row r="37" spans="1:22" ht="15" customHeight="1">
      <c r="A37" s="1223"/>
      <c r="B37" s="1223"/>
      <c r="C37" s="1223"/>
      <c r="D37" s="1223"/>
      <c r="E37" s="1223"/>
      <c r="F37" s="1223"/>
      <c r="G37" s="1223"/>
      <c r="H37" s="1223"/>
      <c r="I37" s="1223"/>
      <c r="J37" s="1220" t="s">
        <v>3615</v>
      </c>
      <c r="K37" s="1221"/>
      <c r="L37" s="1221"/>
      <c r="M37" s="1221"/>
      <c r="N37" s="1221"/>
      <c r="O37" s="1221"/>
      <c r="P37" s="588">
        <f>6000000-903550</f>
        <v>5096450</v>
      </c>
      <c r="Q37" s="588">
        <v>0</v>
      </c>
      <c r="R37" s="588">
        <f>P37-Q37</f>
        <v>5096450</v>
      </c>
      <c r="S37" s="595" t="s">
        <v>3609</v>
      </c>
      <c r="T37" s="585"/>
      <c r="U37" s="585"/>
      <c r="V37" s="585"/>
    </row>
    <row r="38" spans="1:22" ht="42" customHeight="1">
      <c r="A38" s="1223"/>
      <c r="B38" s="1223"/>
      <c r="C38" s="1223"/>
      <c r="D38" s="1223"/>
      <c r="E38" s="1223"/>
      <c r="F38" s="1223"/>
      <c r="G38" s="1223"/>
      <c r="H38" s="1223"/>
      <c r="I38" s="1223"/>
      <c r="J38" s="1220" t="s">
        <v>3616</v>
      </c>
      <c r="K38" s="1221"/>
      <c r="L38" s="1221"/>
      <c r="M38" s="1221"/>
      <c r="N38" s="1221"/>
      <c r="O38" s="1221"/>
      <c r="P38" s="588">
        <f>77692053.25</f>
        <v>77692053.25</v>
      </c>
      <c r="Q38" s="588">
        <v>0</v>
      </c>
      <c r="R38" s="588">
        <f>P38-Q38</f>
        <v>77692053.25</v>
      </c>
      <c r="S38" s="595" t="s">
        <v>3617</v>
      </c>
      <c r="T38" s="585"/>
      <c r="U38" s="585"/>
      <c r="V38" s="585"/>
    </row>
    <row r="39" spans="1:22" ht="24" customHeight="1">
      <c r="A39" s="1217" t="s">
        <v>3618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591">
        <f>P36+P37+P38</f>
        <v>83692053.25</v>
      </c>
      <c r="Q39" s="591">
        <f>Q36+Q37+Q38</f>
        <v>903550</v>
      </c>
      <c r="R39" s="591">
        <f>R36+R37+R38</f>
        <v>82788503.25</v>
      </c>
      <c r="S39" s="595"/>
      <c r="T39" s="585"/>
      <c r="U39" s="585"/>
      <c r="V39" s="585"/>
    </row>
    <row r="40" spans="1:22" ht="42" customHeight="1">
      <c r="A40" s="1226" t="s">
        <v>3619</v>
      </c>
      <c r="B40" s="596"/>
      <c r="C40" s="596"/>
      <c r="D40" s="596"/>
      <c r="E40" s="596"/>
      <c r="F40" s="596"/>
      <c r="G40" s="596"/>
      <c r="H40" s="596"/>
      <c r="I40" s="596"/>
      <c r="J40" s="1220" t="s">
        <v>3616</v>
      </c>
      <c r="K40" s="1221"/>
      <c r="L40" s="1221"/>
      <c r="M40" s="1221"/>
      <c r="N40" s="1221"/>
      <c r="O40" s="1221"/>
      <c r="P40" s="591">
        <v>4673446.75</v>
      </c>
      <c r="Q40" s="591">
        <v>0</v>
      </c>
      <c r="R40" s="588">
        <f>P40-Q40</f>
        <v>4673446.75</v>
      </c>
      <c r="S40" s="595" t="s">
        <v>3617</v>
      </c>
      <c r="T40" s="585"/>
      <c r="U40" s="585"/>
      <c r="V40" s="585"/>
    </row>
    <row r="41" spans="1:22" ht="24" customHeight="1">
      <c r="A41" s="1227"/>
      <c r="B41" s="596"/>
      <c r="C41" s="596"/>
      <c r="D41" s="596"/>
      <c r="E41" s="596"/>
      <c r="F41" s="596"/>
      <c r="G41" s="596"/>
      <c r="H41" s="596"/>
      <c r="I41" s="596"/>
      <c r="J41" s="1220" t="s">
        <v>3608</v>
      </c>
      <c r="K41" s="1221"/>
      <c r="L41" s="1221"/>
      <c r="M41" s="1221"/>
      <c r="N41" s="1221"/>
      <c r="O41" s="1221"/>
      <c r="P41" s="591">
        <f>5530898.32-4673446.75</f>
        <v>857451.5700000003</v>
      </c>
      <c r="Q41" s="591">
        <v>0</v>
      </c>
      <c r="R41" s="588">
        <f>P41-Q41</f>
        <v>857451.5700000003</v>
      </c>
      <c r="S41" s="595"/>
      <c r="T41" s="585"/>
      <c r="U41" s="585"/>
      <c r="V41" s="585"/>
    </row>
    <row r="42" spans="1:22" ht="24" customHeight="1">
      <c r="A42" s="1228" t="s">
        <v>3620</v>
      </c>
      <c r="B42" s="1229"/>
      <c r="C42" s="1229"/>
      <c r="D42" s="1229"/>
      <c r="E42" s="1229"/>
      <c r="F42" s="1229"/>
      <c r="G42" s="1229"/>
      <c r="H42" s="1229"/>
      <c r="I42" s="1229"/>
      <c r="J42" s="1229"/>
      <c r="K42" s="1229"/>
      <c r="L42" s="1229"/>
      <c r="M42" s="1229"/>
      <c r="N42" s="1229"/>
      <c r="O42" s="1230"/>
      <c r="P42" s="588">
        <f>SUM(P40:P41)</f>
        <v>5530898.3200000003</v>
      </c>
      <c r="Q42" s="588">
        <f>SUM(Q40:Q41)</f>
        <v>0</v>
      </c>
      <c r="R42" s="588">
        <f>P42-Q42</f>
        <v>5530898.3200000003</v>
      </c>
      <c r="S42" s="595"/>
      <c r="T42" s="585"/>
      <c r="U42" s="585"/>
      <c r="V42" s="585"/>
    </row>
    <row r="43" spans="1:22" ht="41.25" customHeight="1">
      <c r="A43" s="1218" t="s">
        <v>1432</v>
      </c>
      <c r="B43" s="593"/>
      <c r="C43" s="593"/>
      <c r="D43" s="593"/>
      <c r="E43" s="593"/>
      <c r="F43" s="593"/>
      <c r="G43" s="593"/>
      <c r="H43" s="593"/>
      <c r="I43" s="593"/>
      <c r="J43" s="1206" t="s">
        <v>3582</v>
      </c>
      <c r="K43" s="1200" t="s">
        <v>1301</v>
      </c>
      <c r="L43" s="594" t="s">
        <v>1437</v>
      </c>
      <c r="M43" s="1231" t="s">
        <v>3621</v>
      </c>
      <c r="N43" s="1184"/>
      <c r="O43" s="1184"/>
      <c r="P43" s="587">
        <v>1500000</v>
      </c>
      <c r="Q43" s="587">
        <v>1500000</v>
      </c>
      <c r="R43" s="587">
        <f>P43-Q43</f>
        <v>0</v>
      </c>
      <c r="S43" s="595" t="s">
        <v>3622</v>
      </c>
      <c r="T43" s="585"/>
      <c r="U43" s="585"/>
      <c r="V43" s="585"/>
    </row>
    <row r="44" spans="1:22" ht="15" customHeight="1">
      <c r="A44" s="1223"/>
      <c r="B44" s="593"/>
      <c r="C44" s="593"/>
      <c r="D44" s="593"/>
      <c r="E44" s="593"/>
      <c r="F44" s="593"/>
      <c r="G44" s="593"/>
      <c r="H44" s="593"/>
      <c r="I44" s="593"/>
      <c r="J44" s="1223"/>
      <c r="K44" s="1223"/>
      <c r="L44" s="1210" t="s">
        <v>3623</v>
      </c>
      <c r="M44" s="1210"/>
      <c r="N44" s="1210"/>
      <c r="O44" s="1210"/>
      <c r="P44" s="588">
        <f>P43</f>
        <v>1500000</v>
      </c>
      <c r="Q44" s="588">
        <f>Q43</f>
        <v>1500000</v>
      </c>
      <c r="R44" s="588">
        <f>R43</f>
        <v>0</v>
      </c>
      <c r="S44" s="595"/>
      <c r="T44" s="585"/>
      <c r="U44" s="585"/>
      <c r="V44" s="585"/>
    </row>
    <row r="45" spans="1:22" ht="15" customHeight="1">
      <c r="A45" s="1223"/>
      <c r="B45" s="593"/>
      <c r="C45" s="593"/>
      <c r="D45" s="593"/>
      <c r="E45" s="593"/>
      <c r="F45" s="593"/>
      <c r="G45" s="593"/>
      <c r="H45" s="593"/>
      <c r="I45" s="593"/>
      <c r="J45" s="1223"/>
      <c r="K45" s="1223"/>
      <c r="L45" s="1200" t="s">
        <v>1438</v>
      </c>
      <c r="M45" s="1206" t="s">
        <v>3624</v>
      </c>
      <c r="N45" s="1206" t="s">
        <v>1894</v>
      </c>
      <c r="O45" s="594" t="s">
        <v>2644</v>
      </c>
      <c r="P45" s="587">
        <v>290000</v>
      </c>
      <c r="Q45" s="587">
        <v>290000</v>
      </c>
      <c r="R45" s="587">
        <f t="shared" ref="R45:R75" si="3">P45-Q45</f>
        <v>0</v>
      </c>
      <c r="S45" s="1225" t="s">
        <v>3625</v>
      </c>
      <c r="T45" s="585"/>
      <c r="U45" s="585"/>
      <c r="V45" s="585"/>
    </row>
    <row r="46" spans="1:22" ht="15" customHeight="1">
      <c r="A46" s="1223"/>
      <c r="B46" s="593"/>
      <c r="C46" s="593"/>
      <c r="D46" s="593"/>
      <c r="E46" s="593"/>
      <c r="F46" s="593"/>
      <c r="G46" s="593"/>
      <c r="H46" s="593"/>
      <c r="I46" s="593"/>
      <c r="J46" s="1223"/>
      <c r="K46" s="1223"/>
      <c r="L46" s="1223"/>
      <c r="M46" s="1223"/>
      <c r="N46" s="1206"/>
      <c r="O46" s="594" t="s">
        <v>2675</v>
      </c>
      <c r="P46" s="587">
        <v>200000</v>
      </c>
      <c r="Q46" s="587">
        <v>200000</v>
      </c>
      <c r="R46" s="587">
        <f t="shared" si="3"/>
        <v>0</v>
      </c>
      <c r="S46" s="1225"/>
      <c r="T46" s="585"/>
      <c r="U46" s="585"/>
      <c r="V46" s="585"/>
    </row>
    <row r="47" spans="1:22" ht="15" customHeight="1">
      <c r="A47" s="1223"/>
      <c r="B47" s="593"/>
      <c r="C47" s="593"/>
      <c r="D47" s="593"/>
      <c r="E47" s="593"/>
      <c r="F47" s="593"/>
      <c r="G47" s="593"/>
      <c r="H47" s="593"/>
      <c r="I47" s="593"/>
      <c r="J47" s="1223"/>
      <c r="K47" s="1223"/>
      <c r="L47" s="1223"/>
      <c r="M47" s="1223"/>
      <c r="N47" s="1206"/>
      <c r="O47" s="594" t="s">
        <v>2680</v>
      </c>
      <c r="P47" s="587">
        <v>400000</v>
      </c>
      <c r="Q47" s="587">
        <v>400000</v>
      </c>
      <c r="R47" s="587">
        <f t="shared" si="3"/>
        <v>0</v>
      </c>
      <c r="S47" s="1225"/>
      <c r="T47" s="585"/>
      <c r="U47" s="585"/>
      <c r="V47" s="585"/>
    </row>
    <row r="48" spans="1:22" ht="15" customHeight="1">
      <c r="A48" s="1223"/>
      <c r="B48" s="593"/>
      <c r="C48" s="593"/>
      <c r="D48" s="593"/>
      <c r="E48" s="593"/>
      <c r="F48" s="593"/>
      <c r="G48" s="593"/>
      <c r="H48" s="593"/>
      <c r="I48" s="593"/>
      <c r="J48" s="1223"/>
      <c r="K48" s="1223"/>
      <c r="L48" s="1223"/>
      <c r="M48" s="1223"/>
      <c r="N48" s="1206"/>
      <c r="O48" s="594" t="s">
        <v>2686</v>
      </c>
      <c r="P48" s="587">
        <v>250000</v>
      </c>
      <c r="Q48" s="587">
        <v>250000</v>
      </c>
      <c r="R48" s="587">
        <f t="shared" si="3"/>
        <v>0</v>
      </c>
      <c r="S48" s="1225"/>
      <c r="T48" s="585"/>
      <c r="U48" s="585"/>
      <c r="V48" s="585"/>
    </row>
    <row r="49" spans="1:22" ht="15" customHeight="1">
      <c r="A49" s="1223"/>
      <c r="B49" s="593"/>
      <c r="C49" s="593"/>
      <c r="D49" s="593"/>
      <c r="E49" s="593"/>
      <c r="F49" s="593"/>
      <c r="G49" s="593"/>
      <c r="H49" s="593"/>
      <c r="I49" s="593"/>
      <c r="J49" s="1223"/>
      <c r="K49" s="1223"/>
      <c r="L49" s="1223"/>
      <c r="M49" s="1223"/>
      <c r="N49" s="1206"/>
      <c r="O49" s="594" t="s">
        <v>2696</v>
      </c>
      <c r="P49" s="587">
        <v>200000</v>
      </c>
      <c r="Q49" s="587">
        <v>200000</v>
      </c>
      <c r="R49" s="587">
        <f t="shared" si="3"/>
        <v>0</v>
      </c>
      <c r="S49" s="1225"/>
      <c r="T49" s="585"/>
      <c r="U49" s="585"/>
      <c r="V49" s="585"/>
    </row>
    <row r="50" spans="1:22" ht="15" customHeight="1">
      <c r="A50" s="1223"/>
      <c r="B50" s="593"/>
      <c r="C50" s="593"/>
      <c r="D50" s="593"/>
      <c r="E50" s="593"/>
      <c r="F50" s="593"/>
      <c r="G50" s="593"/>
      <c r="H50" s="593"/>
      <c r="I50" s="593"/>
      <c r="J50" s="1223"/>
      <c r="K50" s="1223"/>
      <c r="L50" s="1223"/>
      <c r="M50" s="1223"/>
      <c r="N50" s="1206"/>
      <c r="O50" s="594" t="s">
        <v>2698</v>
      </c>
      <c r="P50" s="587">
        <v>140000</v>
      </c>
      <c r="Q50" s="587">
        <v>140000</v>
      </c>
      <c r="R50" s="587">
        <f t="shared" si="3"/>
        <v>0</v>
      </c>
      <c r="S50" s="1225"/>
      <c r="T50" s="585"/>
      <c r="U50" s="585"/>
      <c r="V50" s="585"/>
    </row>
    <row r="51" spans="1:22" ht="15" customHeight="1">
      <c r="A51" s="1223"/>
      <c r="B51" s="593"/>
      <c r="C51" s="593"/>
      <c r="D51" s="593"/>
      <c r="E51" s="593"/>
      <c r="F51" s="593"/>
      <c r="G51" s="593"/>
      <c r="H51" s="593"/>
      <c r="I51" s="593"/>
      <c r="J51" s="1223"/>
      <c r="K51" s="1223"/>
      <c r="L51" s="1223"/>
      <c r="M51" s="1223"/>
      <c r="N51" s="1206" t="s">
        <v>1994</v>
      </c>
      <c r="O51" s="594" t="s">
        <v>2735</v>
      </c>
      <c r="P51" s="587">
        <v>90000</v>
      </c>
      <c r="Q51" s="587">
        <v>90000</v>
      </c>
      <c r="R51" s="587">
        <f t="shared" si="3"/>
        <v>0</v>
      </c>
      <c r="S51" s="1225"/>
      <c r="T51" s="585"/>
      <c r="U51" s="585"/>
      <c r="V51" s="585"/>
    </row>
    <row r="52" spans="1:22" ht="15" customHeight="1">
      <c r="A52" s="1223"/>
      <c r="B52" s="593"/>
      <c r="C52" s="593"/>
      <c r="D52" s="593"/>
      <c r="E52" s="593"/>
      <c r="F52" s="593"/>
      <c r="G52" s="593"/>
      <c r="H52" s="593"/>
      <c r="I52" s="593"/>
      <c r="J52" s="1223"/>
      <c r="K52" s="1223"/>
      <c r="L52" s="1223"/>
      <c r="M52" s="1223"/>
      <c r="N52" s="1206"/>
      <c r="O52" s="594" t="s">
        <v>2777</v>
      </c>
      <c r="P52" s="587">
        <v>1450000</v>
      </c>
      <c r="Q52" s="587">
        <v>1450000</v>
      </c>
      <c r="R52" s="587">
        <f t="shared" si="3"/>
        <v>0</v>
      </c>
      <c r="S52" s="1225"/>
      <c r="T52" s="585"/>
      <c r="U52" s="585"/>
      <c r="V52" s="585"/>
    </row>
    <row r="53" spans="1:22" ht="15" customHeight="1">
      <c r="A53" s="1223"/>
      <c r="B53" s="593"/>
      <c r="C53" s="593"/>
      <c r="D53" s="593"/>
      <c r="E53" s="593"/>
      <c r="F53" s="593"/>
      <c r="G53" s="593"/>
      <c r="H53" s="593"/>
      <c r="I53" s="593"/>
      <c r="J53" s="1223"/>
      <c r="K53" s="1223"/>
      <c r="L53" s="1223"/>
      <c r="M53" s="1223"/>
      <c r="N53" s="1206" t="s">
        <v>2785</v>
      </c>
      <c r="O53" s="594" t="s">
        <v>2796</v>
      </c>
      <c r="P53" s="587">
        <v>500000</v>
      </c>
      <c r="Q53" s="587">
        <v>500000</v>
      </c>
      <c r="R53" s="587">
        <f t="shared" si="3"/>
        <v>0</v>
      </c>
      <c r="S53" s="1225"/>
      <c r="T53" s="585"/>
      <c r="U53" s="585"/>
      <c r="V53" s="585"/>
    </row>
    <row r="54" spans="1:22" ht="15" customHeight="1">
      <c r="A54" s="1223"/>
      <c r="B54" s="593"/>
      <c r="C54" s="593"/>
      <c r="D54" s="593"/>
      <c r="E54" s="593"/>
      <c r="F54" s="593"/>
      <c r="G54" s="593"/>
      <c r="H54" s="593"/>
      <c r="I54" s="593"/>
      <c r="J54" s="1223"/>
      <c r="K54" s="1223"/>
      <c r="L54" s="1223"/>
      <c r="M54" s="1223"/>
      <c r="N54" s="1206"/>
      <c r="O54" s="594" t="s">
        <v>2839</v>
      </c>
      <c r="P54" s="587">
        <v>490000</v>
      </c>
      <c r="Q54" s="587">
        <v>490000</v>
      </c>
      <c r="R54" s="587">
        <f t="shared" si="3"/>
        <v>0</v>
      </c>
      <c r="S54" s="1225"/>
      <c r="T54" s="585"/>
      <c r="U54" s="585"/>
      <c r="V54" s="585"/>
    </row>
    <row r="55" spans="1:22" ht="15" customHeight="1">
      <c r="A55" s="1223"/>
      <c r="B55" s="593"/>
      <c r="C55" s="593"/>
      <c r="D55" s="593"/>
      <c r="E55" s="593"/>
      <c r="F55" s="593"/>
      <c r="G55" s="593"/>
      <c r="H55" s="593"/>
      <c r="I55" s="593"/>
      <c r="J55" s="1223"/>
      <c r="K55" s="1223"/>
      <c r="L55" s="1223"/>
      <c r="M55" s="1223"/>
      <c r="N55" s="594" t="s">
        <v>2853</v>
      </c>
      <c r="O55" s="594" t="s">
        <v>2863</v>
      </c>
      <c r="P55" s="587">
        <v>400000</v>
      </c>
      <c r="Q55" s="587">
        <v>400000</v>
      </c>
      <c r="R55" s="587">
        <f t="shared" si="3"/>
        <v>0</v>
      </c>
      <c r="S55" s="1225"/>
      <c r="T55" s="585"/>
      <c r="U55" s="585"/>
      <c r="V55" s="585"/>
    </row>
    <row r="56" spans="1:22" ht="15" customHeight="1">
      <c r="A56" s="1223"/>
      <c r="B56" s="593"/>
      <c r="C56" s="593"/>
      <c r="D56" s="593"/>
      <c r="E56" s="593"/>
      <c r="F56" s="593"/>
      <c r="G56" s="593"/>
      <c r="H56" s="593"/>
      <c r="I56" s="593"/>
      <c r="J56" s="1223"/>
      <c r="K56" s="1223"/>
      <c r="L56" s="1223"/>
      <c r="M56" s="1223"/>
      <c r="N56" s="594" t="s">
        <v>2870</v>
      </c>
      <c r="O56" s="594" t="s">
        <v>2878</v>
      </c>
      <c r="P56" s="587">
        <v>400000</v>
      </c>
      <c r="Q56" s="587">
        <v>400000</v>
      </c>
      <c r="R56" s="587">
        <f t="shared" si="3"/>
        <v>0</v>
      </c>
      <c r="S56" s="1225"/>
      <c r="T56" s="585"/>
      <c r="U56" s="585"/>
      <c r="V56" s="585"/>
    </row>
    <row r="57" spans="1:22" ht="15" customHeight="1">
      <c r="A57" s="1223"/>
      <c r="B57" s="593"/>
      <c r="C57" s="593"/>
      <c r="D57" s="593"/>
      <c r="E57" s="593"/>
      <c r="F57" s="593"/>
      <c r="G57" s="593"/>
      <c r="H57" s="593"/>
      <c r="I57" s="593"/>
      <c r="J57" s="1223"/>
      <c r="K57" s="1223"/>
      <c r="L57" s="1223"/>
      <c r="M57" s="1223"/>
      <c r="N57" s="1206" t="s">
        <v>2870</v>
      </c>
      <c r="O57" s="594" t="s">
        <v>2730</v>
      </c>
      <c r="P57" s="587">
        <v>250000</v>
      </c>
      <c r="Q57" s="587">
        <v>250000</v>
      </c>
      <c r="R57" s="587">
        <f t="shared" si="3"/>
        <v>0</v>
      </c>
      <c r="S57" s="1225"/>
      <c r="T57" s="585"/>
      <c r="U57" s="585"/>
      <c r="V57" s="585"/>
    </row>
    <row r="58" spans="1:22" ht="15" customHeight="1">
      <c r="A58" s="1223"/>
      <c r="B58" s="593"/>
      <c r="C58" s="593"/>
      <c r="D58" s="593"/>
      <c r="E58" s="593"/>
      <c r="F58" s="593"/>
      <c r="G58" s="593"/>
      <c r="H58" s="593"/>
      <c r="I58" s="593"/>
      <c r="J58" s="1223"/>
      <c r="K58" s="1223"/>
      <c r="L58" s="1223"/>
      <c r="M58" s="1223"/>
      <c r="N58" s="1206"/>
      <c r="O58" s="594" t="s">
        <v>2887</v>
      </c>
      <c r="P58" s="587">
        <v>90000</v>
      </c>
      <c r="Q58" s="587">
        <v>90000</v>
      </c>
      <c r="R58" s="587">
        <f t="shared" si="3"/>
        <v>0</v>
      </c>
      <c r="S58" s="1225"/>
      <c r="T58" s="585"/>
      <c r="U58" s="585"/>
      <c r="V58" s="585"/>
    </row>
    <row r="59" spans="1:22" ht="15" customHeight="1">
      <c r="A59" s="1223"/>
      <c r="B59" s="593"/>
      <c r="C59" s="593"/>
      <c r="D59" s="593"/>
      <c r="E59" s="593"/>
      <c r="F59" s="593"/>
      <c r="G59" s="593"/>
      <c r="H59" s="593"/>
      <c r="I59" s="593"/>
      <c r="J59" s="1223"/>
      <c r="K59" s="1223"/>
      <c r="L59" s="1223"/>
      <c r="M59" s="1223"/>
      <c r="N59" s="1206"/>
      <c r="O59" s="594" t="s">
        <v>2623</v>
      </c>
      <c r="P59" s="587">
        <v>160000</v>
      </c>
      <c r="Q59" s="587">
        <v>160000</v>
      </c>
      <c r="R59" s="587">
        <f t="shared" si="3"/>
        <v>0</v>
      </c>
      <c r="S59" s="1225"/>
      <c r="T59" s="585"/>
      <c r="U59" s="585"/>
      <c r="V59" s="585"/>
    </row>
    <row r="60" spans="1:22" ht="15" customHeight="1">
      <c r="A60" s="1223"/>
      <c r="B60" s="593"/>
      <c r="C60" s="593"/>
      <c r="D60" s="593"/>
      <c r="E60" s="593"/>
      <c r="F60" s="593"/>
      <c r="G60" s="593"/>
      <c r="H60" s="593"/>
      <c r="I60" s="593"/>
      <c r="J60" s="1223"/>
      <c r="K60" s="1223"/>
      <c r="L60" s="1223"/>
      <c r="M60" s="1223"/>
      <c r="N60" s="1206"/>
      <c r="O60" s="594" t="s">
        <v>2624</v>
      </c>
      <c r="P60" s="587">
        <v>350000</v>
      </c>
      <c r="Q60" s="587">
        <v>350000</v>
      </c>
      <c r="R60" s="587">
        <f t="shared" si="3"/>
        <v>0</v>
      </c>
      <c r="S60" s="1225"/>
      <c r="T60" s="585"/>
      <c r="U60" s="585"/>
      <c r="V60" s="585"/>
    </row>
    <row r="61" spans="1:22" ht="15" customHeight="1">
      <c r="A61" s="1223"/>
      <c r="B61" s="593"/>
      <c r="C61" s="593"/>
      <c r="D61" s="593"/>
      <c r="E61" s="593"/>
      <c r="F61" s="593"/>
      <c r="G61" s="593"/>
      <c r="H61" s="593"/>
      <c r="I61" s="593"/>
      <c r="J61" s="1223"/>
      <c r="K61" s="1223"/>
      <c r="L61" s="1223"/>
      <c r="M61" s="1223"/>
      <c r="N61" s="1206"/>
      <c r="O61" s="594" t="s">
        <v>2925</v>
      </c>
      <c r="P61" s="587">
        <v>450000</v>
      </c>
      <c r="Q61" s="587">
        <v>450000</v>
      </c>
      <c r="R61" s="587">
        <f t="shared" si="3"/>
        <v>0</v>
      </c>
      <c r="S61" s="1225"/>
      <c r="T61" s="585"/>
      <c r="U61" s="585"/>
      <c r="V61" s="585"/>
    </row>
    <row r="62" spans="1:22" ht="15" customHeight="1">
      <c r="A62" s="1223"/>
      <c r="B62" s="593"/>
      <c r="C62" s="593"/>
      <c r="D62" s="593"/>
      <c r="E62" s="593"/>
      <c r="F62" s="593"/>
      <c r="G62" s="593"/>
      <c r="H62" s="593"/>
      <c r="I62" s="593"/>
      <c r="J62" s="1223"/>
      <c r="K62" s="1223"/>
      <c r="L62" s="1223"/>
      <c r="M62" s="1223"/>
      <c r="N62" s="1206"/>
      <c r="O62" s="594" t="s">
        <v>2934</v>
      </c>
      <c r="P62" s="587">
        <v>195000</v>
      </c>
      <c r="Q62" s="587">
        <v>195000</v>
      </c>
      <c r="R62" s="587">
        <f t="shared" si="3"/>
        <v>0</v>
      </c>
      <c r="S62" s="1225"/>
      <c r="T62" s="585"/>
      <c r="U62" s="585"/>
      <c r="V62" s="585"/>
    </row>
    <row r="63" spans="1:22" ht="15" customHeight="1">
      <c r="A63" s="1223"/>
      <c r="B63" s="593"/>
      <c r="C63" s="593"/>
      <c r="D63" s="593"/>
      <c r="E63" s="593"/>
      <c r="F63" s="593"/>
      <c r="G63" s="593"/>
      <c r="H63" s="593"/>
      <c r="I63" s="593"/>
      <c r="J63" s="1223"/>
      <c r="K63" s="1223"/>
      <c r="L63" s="1223"/>
      <c r="M63" s="1223"/>
      <c r="N63" s="1206"/>
      <c r="O63" s="594" t="s">
        <v>2937</v>
      </c>
      <c r="P63" s="587">
        <v>100000</v>
      </c>
      <c r="Q63" s="587">
        <v>100000</v>
      </c>
      <c r="R63" s="587">
        <f t="shared" si="3"/>
        <v>0</v>
      </c>
      <c r="S63" s="1225"/>
      <c r="T63" s="585"/>
      <c r="U63" s="585"/>
      <c r="V63" s="585"/>
    </row>
    <row r="64" spans="1:22" ht="15" customHeight="1">
      <c r="A64" s="1223"/>
      <c r="B64" s="593"/>
      <c r="C64" s="593"/>
      <c r="D64" s="593"/>
      <c r="E64" s="593"/>
      <c r="F64" s="593"/>
      <c r="G64" s="593"/>
      <c r="H64" s="593"/>
      <c r="I64" s="593"/>
      <c r="J64" s="1223"/>
      <c r="K64" s="1223"/>
      <c r="L64" s="1223"/>
      <c r="M64" s="1223"/>
      <c r="N64" s="1206"/>
      <c r="O64" s="594" t="s">
        <v>2942</v>
      </c>
      <c r="P64" s="587">
        <v>185000</v>
      </c>
      <c r="Q64" s="587">
        <v>185000</v>
      </c>
      <c r="R64" s="587">
        <f t="shared" si="3"/>
        <v>0</v>
      </c>
      <c r="S64" s="1225"/>
      <c r="T64" s="585"/>
      <c r="U64" s="585"/>
      <c r="V64" s="585"/>
    </row>
    <row r="65" spans="1:22" ht="15" customHeight="1">
      <c r="A65" s="1223"/>
      <c r="B65" s="593"/>
      <c r="C65" s="593"/>
      <c r="D65" s="593"/>
      <c r="E65" s="593"/>
      <c r="F65" s="593"/>
      <c r="G65" s="593"/>
      <c r="H65" s="593"/>
      <c r="I65" s="593"/>
      <c r="J65" s="1223"/>
      <c r="K65" s="1223"/>
      <c r="L65" s="1223"/>
      <c r="M65" s="1223"/>
      <c r="N65" s="1206" t="s">
        <v>1938</v>
      </c>
      <c r="O65" s="594" t="s">
        <v>2975</v>
      </c>
      <c r="P65" s="587">
        <v>300000</v>
      </c>
      <c r="Q65" s="587">
        <v>300000</v>
      </c>
      <c r="R65" s="587">
        <f t="shared" si="3"/>
        <v>0</v>
      </c>
      <c r="S65" s="1225"/>
      <c r="T65" s="585"/>
      <c r="U65" s="585"/>
      <c r="V65" s="585"/>
    </row>
    <row r="66" spans="1:22" ht="21.75" customHeight="1">
      <c r="A66" s="1223"/>
      <c r="B66" s="593"/>
      <c r="C66" s="593"/>
      <c r="D66" s="593"/>
      <c r="E66" s="593"/>
      <c r="F66" s="593"/>
      <c r="G66" s="593"/>
      <c r="H66" s="593"/>
      <c r="I66" s="593"/>
      <c r="J66" s="1223"/>
      <c r="K66" s="1223"/>
      <c r="L66" s="1223"/>
      <c r="M66" s="1223"/>
      <c r="N66" s="1206"/>
      <c r="O66" s="594" t="s">
        <v>2983</v>
      </c>
      <c r="P66" s="587">
        <v>264000</v>
      </c>
      <c r="Q66" s="587">
        <v>264000</v>
      </c>
      <c r="R66" s="587">
        <f t="shared" si="3"/>
        <v>0</v>
      </c>
      <c r="S66" s="595" t="s">
        <v>3626</v>
      </c>
      <c r="T66" s="585"/>
      <c r="U66" s="585"/>
      <c r="V66" s="585"/>
    </row>
    <row r="67" spans="1:22" ht="20.25" customHeight="1">
      <c r="A67" s="1218" t="s">
        <v>1432</v>
      </c>
      <c r="B67" s="593"/>
      <c r="C67" s="593"/>
      <c r="D67" s="593"/>
      <c r="E67" s="593"/>
      <c r="F67" s="593"/>
      <c r="G67" s="593"/>
      <c r="H67" s="593"/>
      <c r="I67" s="593"/>
      <c r="J67" s="1234" t="s">
        <v>3582</v>
      </c>
      <c r="K67" s="1234" t="s">
        <v>1301</v>
      </c>
      <c r="L67" s="1232" t="s">
        <v>3627</v>
      </c>
      <c r="M67" s="1232" t="s">
        <v>3624</v>
      </c>
      <c r="N67" s="1206" t="s">
        <v>1954</v>
      </c>
      <c r="O67" s="594" t="s">
        <v>3001</v>
      </c>
      <c r="P67" s="587">
        <v>300000</v>
      </c>
      <c r="Q67" s="587">
        <v>300000</v>
      </c>
      <c r="R67" s="587">
        <f t="shared" si="3"/>
        <v>0</v>
      </c>
      <c r="S67" s="1225" t="s">
        <v>3625</v>
      </c>
      <c r="T67" s="585"/>
      <c r="U67" s="585"/>
      <c r="V67" s="585"/>
    </row>
    <row r="68" spans="1:22" ht="20.25" customHeight="1">
      <c r="A68" s="1223"/>
      <c r="B68" s="593"/>
      <c r="C68" s="593"/>
      <c r="D68" s="593"/>
      <c r="E68" s="593"/>
      <c r="F68" s="593"/>
      <c r="G68" s="593"/>
      <c r="H68" s="593"/>
      <c r="I68" s="593"/>
      <c r="J68" s="1223"/>
      <c r="K68" s="1223"/>
      <c r="L68" s="1207"/>
      <c r="M68" s="1207"/>
      <c r="N68" s="1206"/>
      <c r="O68" s="594" t="s">
        <v>3009</v>
      </c>
      <c r="P68" s="587">
        <v>570000</v>
      </c>
      <c r="Q68" s="587">
        <v>570000</v>
      </c>
      <c r="R68" s="587">
        <f t="shared" si="3"/>
        <v>0</v>
      </c>
      <c r="S68" s="1225"/>
      <c r="T68" s="585"/>
      <c r="U68" s="585"/>
      <c r="V68" s="585"/>
    </row>
    <row r="69" spans="1:22" ht="24.6" customHeight="1">
      <c r="A69" s="1223"/>
      <c r="B69" s="593"/>
      <c r="C69" s="593"/>
      <c r="D69" s="593"/>
      <c r="E69" s="593"/>
      <c r="F69" s="593"/>
      <c r="G69" s="593"/>
      <c r="H69" s="593"/>
      <c r="I69" s="593"/>
      <c r="J69" s="1223"/>
      <c r="K69" s="1223"/>
      <c r="L69" s="1210" t="s">
        <v>3628</v>
      </c>
      <c r="M69" s="1207"/>
      <c r="N69" s="1207"/>
      <c r="O69" s="1207"/>
      <c r="P69" s="588">
        <f>SUM(P45:P68)</f>
        <v>8024000</v>
      </c>
      <c r="Q69" s="588">
        <f>SUM(Q45:Q68)</f>
        <v>8024000</v>
      </c>
      <c r="R69" s="588">
        <f>SUM(R45:R68)</f>
        <v>0</v>
      </c>
      <c r="S69" s="595"/>
      <c r="T69" s="585"/>
      <c r="U69" s="585"/>
      <c r="V69" s="585"/>
    </row>
    <row r="70" spans="1:22" ht="15" customHeight="1">
      <c r="A70" s="1223"/>
      <c r="B70" s="593"/>
      <c r="C70" s="593"/>
      <c r="D70" s="593"/>
      <c r="E70" s="593"/>
      <c r="F70" s="593"/>
      <c r="G70" s="593"/>
      <c r="H70" s="593"/>
      <c r="I70" s="593"/>
      <c r="J70" s="1223"/>
      <c r="K70" s="1223"/>
      <c r="L70" s="1200" t="s">
        <v>1441</v>
      </c>
      <c r="M70" s="1206" t="s">
        <v>3624</v>
      </c>
      <c r="N70" s="594" t="s">
        <v>1894</v>
      </c>
      <c r="O70" s="594" t="s">
        <v>2703</v>
      </c>
      <c r="P70" s="587">
        <v>180000</v>
      </c>
      <c r="Q70" s="587">
        <v>180000</v>
      </c>
      <c r="R70" s="587">
        <f t="shared" si="3"/>
        <v>0</v>
      </c>
      <c r="S70" s="1225" t="s">
        <v>3629</v>
      </c>
      <c r="T70" s="585"/>
      <c r="U70" s="585"/>
      <c r="V70" s="585"/>
    </row>
    <row r="71" spans="1:22" ht="15" customHeight="1">
      <c r="A71" s="1223"/>
      <c r="B71" s="593"/>
      <c r="C71" s="593"/>
      <c r="D71" s="593"/>
      <c r="E71" s="593"/>
      <c r="F71" s="593"/>
      <c r="G71" s="593"/>
      <c r="H71" s="593"/>
      <c r="I71" s="593"/>
      <c r="J71" s="1223"/>
      <c r="K71" s="1223"/>
      <c r="L71" s="1207"/>
      <c r="M71" s="1207"/>
      <c r="N71" s="594" t="s">
        <v>1994</v>
      </c>
      <c r="O71" s="594" t="s">
        <v>2741</v>
      </c>
      <c r="P71" s="587">
        <v>150000</v>
      </c>
      <c r="Q71" s="587">
        <v>150000</v>
      </c>
      <c r="R71" s="587">
        <f t="shared" si="3"/>
        <v>0</v>
      </c>
      <c r="S71" s="1225"/>
      <c r="T71" s="585"/>
      <c r="U71" s="585"/>
      <c r="V71" s="585"/>
    </row>
    <row r="72" spans="1:22" ht="15" customHeight="1">
      <c r="A72" s="1223"/>
      <c r="B72" s="593"/>
      <c r="C72" s="593"/>
      <c r="D72" s="593"/>
      <c r="E72" s="593"/>
      <c r="F72" s="593"/>
      <c r="G72" s="593"/>
      <c r="H72" s="593"/>
      <c r="I72" s="593"/>
      <c r="J72" s="1223"/>
      <c r="K72" s="1223"/>
      <c r="L72" s="1207"/>
      <c r="M72" s="1207"/>
      <c r="N72" s="594" t="s">
        <v>2785</v>
      </c>
      <c r="O72" s="594" t="s">
        <v>2799</v>
      </c>
      <c r="P72" s="587">
        <v>230000</v>
      </c>
      <c r="Q72" s="587">
        <v>230000</v>
      </c>
      <c r="R72" s="587">
        <f t="shared" si="3"/>
        <v>0</v>
      </c>
      <c r="S72" s="1225"/>
      <c r="T72" s="585"/>
      <c r="U72" s="585"/>
      <c r="V72" s="585"/>
    </row>
    <row r="73" spans="1:22" ht="15" customHeight="1">
      <c r="A73" s="1223"/>
      <c r="B73" s="593"/>
      <c r="C73" s="593"/>
      <c r="D73" s="593"/>
      <c r="E73" s="593"/>
      <c r="F73" s="593"/>
      <c r="G73" s="593"/>
      <c r="H73" s="593"/>
      <c r="I73" s="593"/>
      <c r="J73" s="1223"/>
      <c r="K73" s="1223"/>
      <c r="L73" s="1200" t="s">
        <v>1441</v>
      </c>
      <c r="M73" s="1232" t="s">
        <v>3624</v>
      </c>
      <c r="N73" s="594" t="s">
        <v>2853</v>
      </c>
      <c r="O73" s="594" t="s">
        <v>2866</v>
      </c>
      <c r="P73" s="587">
        <v>191000</v>
      </c>
      <c r="Q73" s="587">
        <v>191000</v>
      </c>
      <c r="R73" s="587">
        <f t="shared" si="3"/>
        <v>0</v>
      </c>
      <c r="S73" s="1225"/>
      <c r="T73" s="585"/>
      <c r="U73" s="585"/>
      <c r="V73" s="585"/>
    </row>
    <row r="74" spans="1:22" ht="15" customHeight="1">
      <c r="A74" s="1223"/>
      <c r="B74" s="593"/>
      <c r="C74" s="593"/>
      <c r="D74" s="593"/>
      <c r="E74" s="593"/>
      <c r="F74" s="593"/>
      <c r="G74" s="593"/>
      <c r="H74" s="593"/>
      <c r="I74" s="593"/>
      <c r="J74" s="1223"/>
      <c r="K74" s="1223"/>
      <c r="L74" s="1207"/>
      <c r="M74" s="1207"/>
      <c r="N74" s="594" t="s">
        <v>2870</v>
      </c>
      <c r="O74" s="594" t="s">
        <v>2879</v>
      </c>
      <c r="P74" s="587">
        <v>100000</v>
      </c>
      <c r="Q74" s="587">
        <v>100000</v>
      </c>
      <c r="R74" s="587">
        <f t="shared" si="3"/>
        <v>0</v>
      </c>
      <c r="S74" s="1225"/>
      <c r="T74" s="585"/>
      <c r="U74" s="585"/>
      <c r="V74" s="585"/>
    </row>
    <row r="75" spans="1:22" ht="15" customHeight="1">
      <c r="A75" s="1223"/>
      <c r="B75" s="593"/>
      <c r="C75" s="593"/>
      <c r="D75" s="593"/>
      <c r="E75" s="593"/>
      <c r="F75" s="593"/>
      <c r="G75" s="593"/>
      <c r="H75" s="593"/>
      <c r="I75" s="593"/>
      <c r="J75" s="1223"/>
      <c r="K75" s="1223"/>
      <c r="L75" s="1207"/>
      <c r="M75" s="1207"/>
      <c r="N75" s="594" t="s">
        <v>1954</v>
      </c>
      <c r="O75" s="594" t="s">
        <v>3011</v>
      </c>
      <c r="P75" s="587">
        <v>150000</v>
      </c>
      <c r="Q75" s="587">
        <v>150000</v>
      </c>
      <c r="R75" s="587">
        <f t="shared" si="3"/>
        <v>0</v>
      </c>
      <c r="S75" s="1225"/>
      <c r="T75" s="585"/>
      <c r="U75" s="585"/>
      <c r="V75" s="585"/>
    </row>
    <row r="76" spans="1:22" ht="15" customHeight="1">
      <c r="A76" s="1223"/>
      <c r="B76" s="593"/>
      <c r="C76" s="593"/>
      <c r="D76" s="593"/>
      <c r="E76" s="593"/>
      <c r="F76" s="593"/>
      <c r="G76" s="593"/>
      <c r="H76" s="593"/>
      <c r="I76" s="593"/>
      <c r="J76" s="1223"/>
      <c r="K76" s="1223"/>
      <c r="L76" s="1210" t="s">
        <v>3630</v>
      </c>
      <c r="M76" s="1207"/>
      <c r="N76" s="1207"/>
      <c r="O76" s="1207"/>
      <c r="P76" s="588">
        <f>SUM(P70:P75)</f>
        <v>1001000</v>
      </c>
      <c r="Q76" s="588">
        <f>SUM(Q70:Q75)</f>
        <v>1001000</v>
      </c>
      <c r="R76" s="588">
        <f>SUM(R70:R75)</f>
        <v>0</v>
      </c>
      <c r="S76" s="595"/>
      <c r="T76" s="585"/>
      <c r="U76" s="585"/>
      <c r="V76" s="585"/>
    </row>
    <row r="77" spans="1:22" ht="30" customHeight="1">
      <c r="A77" s="1223"/>
      <c r="B77" s="593"/>
      <c r="C77" s="593"/>
      <c r="D77" s="593"/>
      <c r="E77" s="593"/>
      <c r="F77" s="593"/>
      <c r="G77" s="593"/>
      <c r="H77" s="593"/>
      <c r="I77" s="593"/>
      <c r="J77" s="1200" t="s">
        <v>3587</v>
      </c>
      <c r="K77" s="1223"/>
      <c r="L77" s="1206" t="s">
        <v>1438</v>
      </c>
      <c r="M77" s="1206" t="s">
        <v>3624</v>
      </c>
      <c r="N77" s="1206" t="s">
        <v>1894</v>
      </c>
      <c r="O77" s="594" t="s">
        <v>2637</v>
      </c>
      <c r="P77" s="587">
        <v>390000</v>
      </c>
      <c r="Q77" s="587">
        <v>390000</v>
      </c>
      <c r="R77" s="587">
        <f t="shared" ref="R77:R98" si="4">P77-Q77</f>
        <v>0</v>
      </c>
      <c r="S77" s="595" t="s">
        <v>3631</v>
      </c>
      <c r="T77" s="585"/>
      <c r="U77" s="585"/>
      <c r="V77" s="585"/>
    </row>
    <row r="78" spans="1:22" ht="30" customHeight="1">
      <c r="A78" s="1223"/>
      <c r="B78" s="593"/>
      <c r="C78" s="593"/>
      <c r="D78" s="593"/>
      <c r="E78" s="593"/>
      <c r="F78" s="593"/>
      <c r="G78" s="593"/>
      <c r="H78" s="593"/>
      <c r="I78" s="593"/>
      <c r="J78" s="1207"/>
      <c r="K78" s="1223"/>
      <c r="L78" s="1206"/>
      <c r="M78" s="1206"/>
      <c r="N78" s="1206"/>
      <c r="O78" s="594" t="s">
        <v>2693</v>
      </c>
      <c r="P78" s="587">
        <v>500000</v>
      </c>
      <c r="Q78" s="587">
        <v>500000</v>
      </c>
      <c r="R78" s="587">
        <f t="shared" si="4"/>
        <v>0</v>
      </c>
      <c r="S78" s="595" t="s">
        <v>3632</v>
      </c>
      <c r="T78" s="585"/>
      <c r="U78" s="585"/>
      <c r="V78" s="585"/>
    </row>
    <row r="79" spans="1:22" ht="30" customHeight="1">
      <c r="A79" s="1223"/>
      <c r="B79" s="593"/>
      <c r="C79" s="593"/>
      <c r="D79" s="593"/>
      <c r="E79" s="593"/>
      <c r="F79" s="593"/>
      <c r="G79" s="593"/>
      <c r="H79" s="593"/>
      <c r="I79" s="593"/>
      <c r="J79" s="1207"/>
      <c r="K79" s="1223"/>
      <c r="L79" s="1207"/>
      <c r="M79" s="1207"/>
      <c r="N79" s="594" t="s">
        <v>1894</v>
      </c>
      <c r="O79" s="594" t="s">
        <v>2705</v>
      </c>
      <c r="P79" s="587">
        <v>80000</v>
      </c>
      <c r="Q79" s="587">
        <v>80000</v>
      </c>
      <c r="R79" s="587">
        <f t="shared" si="4"/>
        <v>0</v>
      </c>
      <c r="S79" s="595" t="s">
        <v>3631</v>
      </c>
      <c r="T79" s="585"/>
      <c r="U79" s="585"/>
      <c r="V79" s="585"/>
    </row>
    <row r="80" spans="1:22" ht="30" customHeight="1">
      <c r="A80" s="1223"/>
      <c r="B80" s="593"/>
      <c r="C80" s="593"/>
      <c r="D80" s="593"/>
      <c r="E80" s="593"/>
      <c r="F80" s="593"/>
      <c r="G80" s="593"/>
      <c r="H80" s="593"/>
      <c r="I80" s="593"/>
      <c r="J80" s="1207"/>
      <c r="K80" s="1223"/>
      <c r="L80" s="1207"/>
      <c r="M80" s="1207"/>
      <c r="N80" s="594" t="s">
        <v>1994</v>
      </c>
      <c r="O80" s="594" t="s">
        <v>2725</v>
      </c>
      <c r="P80" s="587">
        <v>200000</v>
      </c>
      <c r="Q80" s="587">
        <v>200000</v>
      </c>
      <c r="R80" s="587">
        <f t="shared" si="4"/>
        <v>0</v>
      </c>
      <c r="S80" s="595" t="s">
        <v>3632</v>
      </c>
      <c r="T80" s="585"/>
      <c r="U80" s="585"/>
      <c r="V80" s="585"/>
    </row>
    <row r="81" spans="1:22" ht="30" customHeight="1">
      <c r="A81" s="1223"/>
      <c r="B81" s="593"/>
      <c r="C81" s="593"/>
      <c r="D81" s="593"/>
      <c r="E81" s="593"/>
      <c r="F81" s="593"/>
      <c r="G81" s="593"/>
      <c r="H81" s="593"/>
      <c r="I81" s="593"/>
      <c r="J81" s="1207"/>
      <c r="K81" s="1223"/>
      <c r="L81" s="1207"/>
      <c r="M81" s="1207"/>
      <c r="N81" s="594"/>
      <c r="O81" s="594" t="s">
        <v>2752</v>
      </c>
      <c r="P81" s="587">
        <v>200000</v>
      </c>
      <c r="Q81" s="587">
        <v>200000</v>
      </c>
      <c r="R81" s="587">
        <f t="shared" si="4"/>
        <v>0</v>
      </c>
      <c r="S81" s="595" t="s">
        <v>3626</v>
      </c>
      <c r="T81" s="585"/>
      <c r="U81" s="585"/>
      <c r="V81" s="585"/>
    </row>
    <row r="82" spans="1:22" ht="30" customHeight="1">
      <c r="A82" s="1223"/>
      <c r="B82" s="593"/>
      <c r="C82" s="593"/>
      <c r="D82" s="593"/>
      <c r="E82" s="593"/>
      <c r="F82" s="593"/>
      <c r="G82" s="593"/>
      <c r="H82" s="593"/>
      <c r="I82" s="593"/>
      <c r="J82" s="1207"/>
      <c r="K82" s="1223"/>
      <c r="L82" s="1207"/>
      <c r="M82" s="1207"/>
      <c r="N82" s="1206" t="s">
        <v>2785</v>
      </c>
      <c r="O82" s="594" t="s">
        <v>2816</v>
      </c>
      <c r="P82" s="587">
        <v>480000</v>
      </c>
      <c r="Q82" s="587">
        <v>480000</v>
      </c>
      <c r="R82" s="587">
        <f t="shared" si="4"/>
        <v>0</v>
      </c>
      <c r="S82" s="595" t="s">
        <v>3633</v>
      </c>
      <c r="T82" s="585"/>
      <c r="U82" s="585"/>
      <c r="V82" s="585"/>
    </row>
    <row r="83" spans="1:22" ht="30" customHeight="1">
      <c r="A83" s="1223"/>
      <c r="B83" s="593"/>
      <c r="C83" s="593"/>
      <c r="D83" s="593"/>
      <c r="E83" s="593"/>
      <c r="F83" s="593"/>
      <c r="G83" s="593"/>
      <c r="H83" s="593"/>
      <c r="I83" s="593"/>
      <c r="J83" s="1207"/>
      <c r="K83" s="1223"/>
      <c r="L83" s="1207"/>
      <c r="M83" s="1207"/>
      <c r="N83" s="1206"/>
      <c r="O83" s="594" t="s">
        <v>2828</v>
      </c>
      <c r="P83" s="587">
        <v>650000</v>
      </c>
      <c r="Q83" s="587">
        <v>650000</v>
      </c>
      <c r="R83" s="587">
        <f t="shared" si="4"/>
        <v>0</v>
      </c>
      <c r="S83" s="595" t="s">
        <v>3632</v>
      </c>
      <c r="T83" s="585"/>
      <c r="U83" s="585"/>
      <c r="V83" s="585"/>
    </row>
    <row r="84" spans="1:22" ht="30" customHeight="1">
      <c r="A84" s="1223"/>
      <c r="B84" s="593"/>
      <c r="C84" s="593"/>
      <c r="D84" s="593"/>
      <c r="E84" s="593"/>
      <c r="F84" s="593"/>
      <c r="G84" s="593"/>
      <c r="H84" s="593"/>
      <c r="I84" s="593"/>
      <c r="J84" s="1207"/>
      <c r="K84" s="1223"/>
      <c r="L84" s="1207"/>
      <c r="M84" s="1207"/>
      <c r="N84" s="1206" t="s">
        <v>2853</v>
      </c>
      <c r="O84" s="594" t="s">
        <v>2855</v>
      </c>
      <c r="P84" s="587">
        <v>350000</v>
      </c>
      <c r="Q84" s="587">
        <v>350000</v>
      </c>
      <c r="R84" s="587">
        <f t="shared" si="4"/>
        <v>0</v>
      </c>
      <c r="S84" s="595" t="s">
        <v>3631</v>
      </c>
      <c r="T84" s="585"/>
      <c r="U84" s="585"/>
      <c r="V84" s="585"/>
    </row>
    <row r="85" spans="1:22" ht="30" customHeight="1">
      <c r="A85" s="1223"/>
      <c r="B85" s="593"/>
      <c r="C85" s="593"/>
      <c r="D85" s="593"/>
      <c r="E85" s="593"/>
      <c r="F85" s="593"/>
      <c r="G85" s="593"/>
      <c r="H85" s="593"/>
      <c r="I85" s="593"/>
      <c r="J85" s="1207"/>
      <c r="K85" s="1223"/>
      <c r="L85" s="1207"/>
      <c r="M85" s="1207"/>
      <c r="N85" s="1206"/>
      <c r="O85" s="594" t="s">
        <v>2858</v>
      </c>
      <c r="P85" s="587">
        <v>350000</v>
      </c>
      <c r="Q85" s="587">
        <v>350000</v>
      </c>
      <c r="R85" s="587">
        <f t="shared" si="4"/>
        <v>0</v>
      </c>
      <c r="S85" s="595" t="s">
        <v>3631</v>
      </c>
      <c r="T85" s="585"/>
      <c r="U85" s="585"/>
      <c r="V85" s="585"/>
    </row>
    <row r="86" spans="1:22" ht="30" customHeight="1">
      <c r="A86" s="1223"/>
      <c r="B86" s="593"/>
      <c r="C86" s="593"/>
      <c r="D86" s="593"/>
      <c r="E86" s="593"/>
      <c r="F86" s="593"/>
      <c r="G86" s="593"/>
      <c r="H86" s="593"/>
      <c r="I86" s="593"/>
      <c r="J86" s="1207"/>
      <c r="K86" s="1223"/>
      <c r="L86" s="1207"/>
      <c r="M86" s="1207"/>
      <c r="N86" s="1206"/>
      <c r="O86" s="594" t="s">
        <v>2862</v>
      </c>
      <c r="P86" s="587">
        <v>80000</v>
      </c>
      <c r="Q86" s="587">
        <v>80000</v>
      </c>
      <c r="R86" s="587">
        <f t="shared" si="4"/>
        <v>0</v>
      </c>
      <c r="S86" s="595" t="s">
        <v>3632</v>
      </c>
      <c r="T86" s="585"/>
      <c r="U86" s="585"/>
      <c r="V86" s="585"/>
    </row>
    <row r="87" spans="1:22" ht="30" customHeight="1">
      <c r="A87" s="1223"/>
      <c r="B87" s="593"/>
      <c r="C87" s="593"/>
      <c r="D87" s="593"/>
      <c r="E87" s="593"/>
      <c r="F87" s="593"/>
      <c r="G87" s="593"/>
      <c r="H87" s="593"/>
      <c r="I87" s="593"/>
      <c r="J87" s="1207"/>
      <c r="K87" s="1223"/>
      <c r="L87" s="1207"/>
      <c r="M87" s="1207"/>
      <c r="N87" s="594" t="s">
        <v>2870</v>
      </c>
      <c r="O87" s="594" t="s">
        <v>2885</v>
      </c>
      <c r="P87" s="587">
        <v>30000</v>
      </c>
      <c r="Q87" s="587">
        <v>30000</v>
      </c>
      <c r="R87" s="587">
        <f t="shared" si="4"/>
        <v>0</v>
      </c>
      <c r="S87" s="595" t="s">
        <v>3632</v>
      </c>
      <c r="T87" s="585"/>
      <c r="U87" s="585"/>
      <c r="V87" s="585"/>
    </row>
    <row r="88" spans="1:22" ht="30" customHeight="1">
      <c r="A88" s="1223"/>
      <c r="B88" s="593"/>
      <c r="C88" s="593"/>
      <c r="D88" s="593"/>
      <c r="E88" s="593"/>
      <c r="F88" s="593"/>
      <c r="G88" s="593"/>
      <c r="H88" s="593"/>
      <c r="I88" s="593"/>
      <c r="J88" s="1207"/>
      <c r="K88" s="1223"/>
      <c r="L88" s="1207"/>
      <c r="M88" s="1207"/>
      <c r="N88" s="1206" t="s">
        <v>1954</v>
      </c>
      <c r="O88" s="594" t="s">
        <v>3010</v>
      </c>
      <c r="P88" s="587">
        <v>900000</v>
      </c>
      <c r="Q88" s="587">
        <v>900000</v>
      </c>
      <c r="R88" s="587">
        <f t="shared" si="4"/>
        <v>0</v>
      </c>
      <c r="S88" s="595" t="s">
        <v>3632</v>
      </c>
      <c r="T88" s="585"/>
      <c r="U88" s="585"/>
      <c r="V88" s="585"/>
    </row>
    <row r="89" spans="1:22" ht="30" customHeight="1">
      <c r="A89" s="1223"/>
      <c r="B89" s="593"/>
      <c r="C89" s="593"/>
      <c r="D89" s="593"/>
      <c r="E89" s="593"/>
      <c r="F89" s="593"/>
      <c r="G89" s="593"/>
      <c r="H89" s="593"/>
      <c r="I89" s="593"/>
      <c r="J89" s="1207"/>
      <c r="K89" s="1223"/>
      <c r="L89" s="1207"/>
      <c r="M89" s="1207"/>
      <c r="N89" s="1206"/>
      <c r="O89" s="594" t="s">
        <v>1954</v>
      </c>
      <c r="P89" s="587">
        <v>580000</v>
      </c>
      <c r="Q89" s="587">
        <v>580000</v>
      </c>
      <c r="R89" s="587">
        <f t="shared" si="4"/>
        <v>0</v>
      </c>
      <c r="S89" s="595" t="s">
        <v>3632</v>
      </c>
      <c r="T89" s="585"/>
      <c r="U89" s="585"/>
      <c r="V89" s="585"/>
    </row>
    <row r="90" spans="1:22" ht="24.6" customHeight="1">
      <c r="A90" s="1223"/>
      <c r="B90" s="593"/>
      <c r="C90" s="593"/>
      <c r="D90" s="593"/>
      <c r="E90" s="593"/>
      <c r="F90" s="593"/>
      <c r="G90" s="593"/>
      <c r="H90" s="593"/>
      <c r="I90" s="593"/>
      <c r="J90" s="1207"/>
      <c r="K90" s="1223"/>
      <c r="L90" s="1210" t="s">
        <v>3628</v>
      </c>
      <c r="M90" s="1210"/>
      <c r="N90" s="1210"/>
      <c r="O90" s="1210"/>
      <c r="P90" s="588">
        <f>SUM(P77:P89)</f>
        <v>4790000</v>
      </c>
      <c r="Q90" s="588">
        <f>SUM(Q77:Q89)</f>
        <v>4790000</v>
      </c>
      <c r="R90" s="588">
        <f>SUM(R77:R89)</f>
        <v>0</v>
      </c>
      <c r="S90" s="595"/>
      <c r="T90" s="585"/>
      <c r="U90" s="585"/>
      <c r="V90" s="585"/>
    </row>
    <row r="91" spans="1:22" ht="15" customHeight="1">
      <c r="A91" s="1223"/>
      <c r="B91" s="593"/>
      <c r="C91" s="593"/>
      <c r="D91" s="593"/>
      <c r="E91" s="593"/>
      <c r="F91" s="593"/>
      <c r="G91" s="593"/>
      <c r="H91" s="593"/>
      <c r="I91" s="593"/>
      <c r="J91" s="1207"/>
      <c r="K91" s="1223"/>
      <c r="L91" s="1200" t="s">
        <v>3634</v>
      </c>
      <c r="M91" s="1206" t="s">
        <v>3624</v>
      </c>
      <c r="N91" s="594" t="s">
        <v>1894</v>
      </c>
      <c r="O91" s="594" t="s">
        <v>2667</v>
      </c>
      <c r="P91" s="587">
        <v>100000</v>
      </c>
      <c r="Q91" s="587">
        <v>100000</v>
      </c>
      <c r="R91" s="587">
        <f t="shared" si="4"/>
        <v>0</v>
      </c>
      <c r="S91" s="1225" t="s">
        <v>3629</v>
      </c>
      <c r="T91" s="585"/>
      <c r="U91" s="585"/>
      <c r="V91" s="585"/>
    </row>
    <row r="92" spans="1:22" ht="15" customHeight="1">
      <c r="A92" s="1223"/>
      <c r="B92" s="593"/>
      <c r="C92" s="593"/>
      <c r="D92" s="593"/>
      <c r="E92" s="593"/>
      <c r="F92" s="593"/>
      <c r="G92" s="593"/>
      <c r="H92" s="593"/>
      <c r="I92" s="593"/>
      <c r="J92" s="1207"/>
      <c r="K92" s="1223"/>
      <c r="L92" s="1206"/>
      <c r="M92" s="1206"/>
      <c r="N92" s="594" t="s">
        <v>1938</v>
      </c>
      <c r="O92" s="594" t="s">
        <v>2952</v>
      </c>
      <c r="P92" s="587">
        <v>180000</v>
      </c>
      <c r="Q92" s="587">
        <v>180000</v>
      </c>
      <c r="R92" s="587">
        <f t="shared" si="4"/>
        <v>0</v>
      </c>
      <c r="S92" s="1184"/>
      <c r="T92" s="585"/>
      <c r="U92" s="585"/>
      <c r="V92" s="585"/>
    </row>
    <row r="93" spans="1:22" ht="18" customHeight="1">
      <c r="A93" s="1236" t="s">
        <v>1432</v>
      </c>
      <c r="B93" s="593"/>
      <c r="C93" s="593"/>
      <c r="D93" s="593"/>
      <c r="E93" s="593"/>
      <c r="F93" s="593"/>
      <c r="G93" s="593"/>
      <c r="H93" s="593"/>
      <c r="I93" s="593"/>
      <c r="J93" s="1232" t="s">
        <v>3587</v>
      </c>
      <c r="K93" s="1237" t="s">
        <v>3635</v>
      </c>
      <c r="L93" s="1200" t="s">
        <v>3634</v>
      </c>
      <c r="M93" s="1206" t="s">
        <v>3624</v>
      </c>
      <c r="N93" s="1206" t="s">
        <v>1954</v>
      </c>
      <c r="O93" s="594" t="s">
        <v>3003</v>
      </c>
      <c r="P93" s="587">
        <v>180000</v>
      </c>
      <c r="Q93" s="587">
        <v>180000</v>
      </c>
      <c r="R93" s="587">
        <f t="shared" si="4"/>
        <v>0</v>
      </c>
      <c r="S93" s="1225" t="s">
        <v>3629</v>
      </c>
      <c r="T93" s="585"/>
      <c r="U93" s="585"/>
      <c r="V93" s="585"/>
    </row>
    <row r="94" spans="1:22" ht="18" customHeight="1">
      <c r="A94" s="1236"/>
      <c r="B94" s="593"/>
      <c r="C94" s="593"/>
      <c r="D94" s="593"/>
      <c r="E94" s="593"/>
      <c r="F94" s="593"/>
      <c r="G94" s="593"/>
      <c r="H94" s="593"/>
      <c r="I94" s="593"/>
      <c r="J94" s="1223"/>
      <c r="K94" s="1223"/>
      <c r="L94" s="1206"/>
      <c r="M94" s="1206"/>
      <c r="N94" s="1206"/>
      <c r="O94" s="594" t="s">
        <v>3009</v>
      </c>
      <c r="P94" s="587">
        <v>150000</v>
      </c>
      <c r="Q94" s="587">
        <v>150000</v>
      </c>
      <c r="R94" s="587">
        <f t="shared" si="4"/>
        <v>0</v>
      </c>
      <c r="S94" s="1184"/>
      <c r="T94" s="585"/>
      <c r="U94" s="585"/>
      <c r="V94" s="585"/>
    </row>
    <row r="95" spans="1:22" ht="15" customHeight="1">
      <c r="A95" s="1236"/>
      <c r="B95" s="593"/>
      <c r="C95" s="593"/>
      <c r="D95" s="593"/>
      <c r="E95" s="593"/>
      <c r="F95" s="593"/>
      <c r="G95" s="593"/>
      <c r="H95" s="593"/>
      <c r="I95" s="593"/>
      <c r="J95" s="1223"/>
      <c r="K95" s="1223"/>
      <c r="L95" s="1210" t="s">
        <v>3630</v>
      </c>
      <c r="M95" s="1233"/>
      <c r="N95" s="1233"/>
      <c r="O95" s="1233"/>
      <c r="P95" s="588">
        <f>SUM(P91:P94)</f>
        <v>610000</v>
      </c>
      <c r="Q95" s="588">
        <f>SUM(Q91:Q94)</f>
        <v>610000</v>
      </c>
      <c r="R95" s="588">
        <f>SUM(R91:R94)</f>
        <v>0</v>
      </c>
      <c r="S95" s="595"/>
      <c r="T95" s="585"/>
      <c r="U95" s="585"/>
      <c r="V95" s="585"/>
    </row>
    <row r="96" spans="1:22" ht="30" customHeight="1">
      <c r="A96" s="1236"/>
      <c r="B96" s="593"/>
      <c r="C96" s="593"/>
      <c r="D96" s="593"/>
      <c r="E96" s="593"/>
      <c r="F96" s="593"/>
      <c r="G96" s="593"/>
      <c r="H96" s="593"/>
      <c r="I96" s="593"/>
      <c r="J96" s="1220" t="s">
        <v>3636</v>
      </c>
      <c r="K96" s="1221"/>
      <c r="L96" s="1221"/>
      <c r="M96" s="1221"/>
      <c r="N96" s="1221"/>
      <c r="O96" s="1221"/>
      <c r="P96" s="588">
        <v>150000</v>
      </c>
      <c r="Q96" s="588">
        <v>0</v>
      </c>
      <c r="R96" s="588">
        <f t="shared" si="4"/>
        <v>150000</v>
      </c>
      <c r="S96" s="595" t="s">
        <v>3637</v>
      </c>
      <c r="T96" s="585"/>
      <c r="U96" s="585"/>
      <c r="V96" s="585"/>
    </row>
    <row r="97" spans="1:22" ht="24.6" customHeight="1">
      <c r="A97" s="1217" t="s">
        <v>3638</v>
      </c>
      <c r="B97" s="1217"/>
      <c r="C97" s="1217"/>
      <c r="D97" s="1217"/>
      <c r="E97" s="1217"/>
      <c r="F97" s="1217"/>
      <c r="G97" s="1217"/>
      <c r="H97" s="1217"/>
      <c r="I97" s="1217"/>
      <c r="J97" s="1217"/>
      <c r="K97" s="1217"/>
      <c r="L97" s="1217"/>
      <c r="M97" s="1217"/>
      <c r="N97" s="1217"/>
      <c r="O97" s="1217"/>
      <c r="P97" s="591">
        <f>P44+P69+P76+P90+P95+P96</f>
        <v>16075000</v>
      </c>
      <c r="Q97" s="591">
        <f>Q44+Q69+Q76+Q90+Q95+Q96</f>
        <v>15925000</v>
      </c>
      <c r="R97" s="591">
        <f>R44+R69+R76+R90+R95+R96</f>
        <v>150000</v>
      </c>
      <c r="S97" s="595"/>
      <c r="T97" s="585"/>
      <c r="U97" s="585"/>
      <c r="V97" s="585"/>
    </row>
    <row r="98" spans="1:22" ht="24.6" customHeight="1">
      <c r="A98" s="1218" t="s">
        <v>1444</v>
      </c>
      <c r="B98" s="1235"/>
      <c r="C98" s="1235"/>
      <c r="D98" s="1235"/>
      <c r="E98" s="1235"/>
      <c r="F98" s="1235"/>
      <c r="G98" s="1235"/>
      <c r="H98" s="1235"/>
      <c r="I98" s="1235"/>
      <c r="J98" s="1234" t="s">
        <v>3582</v>
      </c>
      <c r="K98" s="1234" t="s">
        <v>1321</v>
      </c>
      <c r="L98" s="590" t="s">
        <v>1326</v>
      </c>
      <c r="M98" s="590" t="s">
        <v>1776</v>
      </c>
      <c r="N98" s="1234" t="s">
        <v>3639</v>
      </c>
      <c r="O98" s="1234"/>
      <c r="P98" s="597">
        <v>547605</v>
      </c>
      <c r="Q98" s="597">
        <v>547605</v>
      </c>
      <c r="R98" s="587">
        <f t="shared" si="4"/>
        <v>0</v>
      </c>
      <c r="S98" s="598" t="s">
        <v>3640</v>
      </c>
      <c r="T98" s="585"/>
      <c r="U98" s="585"/>
      <c r="V98" s="585"/>
    </row>
    <row r="99" spans="1:22" ht="15" customHeight="1">
      <c r="A99" s="1218"/>
      <c r="B99" s="1235"/>
      <c r="C99" s="1235"/>
      <c r="D99" s="1235"/>
      <c r="E99" s="1235"/>
      <c r="F99" s="1235"/>
      <c r="G99" s="1235"/>
      <c r="H99" s="1235"/>
      <c r="I99" s="1235"/>
      <c r="J99" s="1234"/>
      <c r="K99" s="1234"/>
      <c r="L99" s="1210" t="s">
        <v>3594</v>
      </c>
      <c r="M99" s="1207"/>
      <c r="N99" s="1207"/>
      <c r="O99" s="1207"/>
      <c r="P99" s="588">
        <f>SUM(P98)</f>
        <v>547605</v>
      </c>
      <c r="Q99" s="588">
        <f>SUM(Q98)</f>
        <v>547605</v>
      </c>
      <c r="R99" s="588">
        <f>SUM(R98)</f>
        <v>0</v>
      </c>
      <c r="S99" s="598"/>
      <c r="T99" s="585"/>
      <c r="U99" s="585"/>
      <c r="V99" s="585"/>
    </row>
    <row r="100" spans="1:22" ht="24.6" customHeight="1">
      <c r="A100" s="1235"/>
      <c r="B100" s="1235"/>
      <c r="C100" s="1235"/>
      <c r="D100" s="1235"/>
      <c r="E100" s="1235"/>
      <c r="F100" s="1235"/>
      <c r="G100" s="1235"/>
      <c r="H100" s="1235"/>
      <c r="I100" s="1235"/>
      <c r="J100" s="1206" t="s">
        <v>3587</v>
      </c>
      <c r="K100" s="1206" t="s">
        <v>1321</v>
      </c>
      <c r="L100" s="1200" t="s">
        <v>1330</v>
      </c>
      <c r="M100" s="1206" t="s">
        <v>1776</v>
      </c>
      <c r="N100" s="1206" t="s">
        <v>3641</v>
      </c>
      <c r="O100" s="1207"/>
      <c r="P100" s="587">
        <v>1000000</v>
      </c>
      <c r="Q100" s="587">
        <v>1000000</v>
      </c>
      <c r="R100" s="587">
        <f>P100-Q100</f>
        <v>0</v>
      </c>
      <c r="S100" s="595" t="s">
        <v>3642</v>
      </c>
      <c r="T100" s="585"/>
      <c r="U100" s="585"/>
      <c r="V100" s="585"/>
    </row>
    <row r="101" spans="1:22" ht="24.6" customHeight="1">
      <c r="A101" s="1235"/>
      <c r="B101" s="1235"/>
      <c r="C101" s="1235"/>
      <c r="D101" s="1235"/>
      <c r="E101" s="1235"/>
      <c r="F101" s="1235"/>
      <c r="G101" s="1235"/>
      <c r="H101" s="1235"/>
      <c r="I101" s="1235"/>
      <c r="J101" s="1206"/>
      <c r="K101" s="1206"/>
      <c r="L101" s="1206"/>
      <c r="M101" s="1206"/>
      <c r="N101" s="1206" t="s">
        <v>3643</v>
      </c>
      <c r="O101" s="1207"/>
      <c r="P101" s="587">
        <v>1500000</v>
      </c>
      <c r="Q101" s="587">
        <v>1398669</v>
      </c>
      <c r="R101" s="587">
        <f>P101-Q101</f>
        <v>101331</v>
      </c>
      <c r="S101" s="595" t="s">
        <v>3597</v>
      </c>
      <c r="T101" s="585"/>
      <c r="U101" s="585"/>
      <c r="V101" s="585"/>
    </row>
    <row r="102" spans="1:22" ht="15" customHeight="1">
      <c r="A102" s="1235"/>
      <c r="B102" s="1235"/>
      <c r="C102" s="1235"/>
      <c r="D102" s="1235"/>
      <c r="E102" s="1235"/>
      <c r="F102" s="1235"/>
      <c r="G102" s="1235"/>
      <c r="H102" s="1235"/>
      <c r="I102" s="1235"/>
      <c r="J102" s="1206"/>
      <c r="K102" s="1206"/>
      <c r="L102" s="1210" t="s">
        <v>3607</v>
      </c>
      <c r="M102" s="1207"/>
      <c r="N102" s="1207"/>
      <c r="O102" s="1207"/>
      <c r="P102" s="588">
        <f>SUM(P100:P101)</f>
        <v>2500000</v>
      </c>
      <c r="Q102" s="588">
        <f>SUM(Q100:Q101)</f>
        <v>2398669</v>
      </c>
      <c r="R102" s="588">
        <f>SUM(R100:R101)</f>
        <v>101331</v>
      </c>
      <c r="S102" s="599"/>
      <c r="T102" s="585"/>
      <c r="U102" s="585"/>
      <c r="V102" s="585"/>
    </row>
    <row r="103" spans="1:22" ht="42" customHeight="1">
      <c r="A103" s="1235"/>
      <c r="B103" s="1235"/>
      <c r="C103" s="1235"/>
      <c r="D103" s="1235"/>
      <c r="E103" s="1235"/>
      <c r="F103" s="1235"/>
      <c r="G103" s="1235"/>
      <c r="H103" s="1235"/>
      <c r="I103" s="1235"/>
      <c r="J103" s="1220" t="s">
        <v>3608</v>
      </c>
      <c r="K103" s="1221"/>
      <c r="L103" s="1221"/>
      <c r="M103" s="1221"/>
      <c r="N103" s="1221"/>
      <c r="O103" s="1221"/>
      <c r="P103" s="588">
        <f>10000000-547605</f>
        <v>9452395</v>
      </c>
      <c r="Q103" s="588">
        <v>0</v>
      </c>
      <c r="R103" s="588">
        <f>P103-Q103</f>
        <v>9452395</v>
      </c>
      <c r="S103" s="595" t="s">
        <v>3644</v>
      </c>
      <c r="T103" s="585"/>
      <c r="U103" s="585"/>
      <c r="V103" s="585"/>
    </row>
    <row r="104" spans="1:22" ht="34.5" customHeight="1">
      <c r="A104" s="1235"/>
      <c r="B104" s="1235"/>
      <c r="C104" s="1235"/>
      <c r="D104" s="1235"/>
      <c r="E104" s="1235"/>
      <c r="F104" s="1235"/>
      <c r="G104" s="1235"/>
      <c r="H104" s="1235"/>
      <c r="I104" s="1235"/>
      <c r="J104" s="1223"/>
      <c r="K104" s="1223"/>
      <c r="L104" s="1223"/>
      <c r="M104" s="1223"/>
      <c r="N104" s="1223"/>
      <c r="O104" s="1223"/>
      <c r="P104" s="588">
        <v>22400000</v>
      </c>
      <c r="Q104" s="588">
        <v>0</v>
      </c>
      <c r="R104" s="588">
        <f>P104-Q104</f>
        <v>22400000</v>
      </c>
      <c r="S104" s="595" t="s">
        <v>3645</v>
      </c>
      <c r="T104" s="585"/>
      <c r="U104" s="585"/>
      <c r="V104" s="585"/>
    </row>
    <row r="105" spans="1:22" ht="24.6" customHeight="1">
      <c r="A105" s="1217" t="s">
        <v>3646</v>
      </c>
      <c r="B105" s="1217"/>
      <c r="C105" s="1217"/>
      <c r="D105" s="1217"/>
      <c r="E105" s="1217"/>
      <c r="F105" s="1217"/>
      <c r="G105" s="1217"/>
      <c r="H105" s="1217"/>
      <c r="I105" s="1217"/>
      <c r="J105" s="1217"/>
      <c r="K105" s="1217"/>
      <c r="L105" s="1217"/>
      <c r="M105" s="1217"/>
      <c r="N105" s="1217"/>
      <c r="O105" s="1217"/>
      <c r="P105" s="591">
        <f>P99+P102+P103+P104</f>
        <v>34900000</v>
      </c>
      <c r="Q105" s="591">
        <f>Q99+Q102+Q103+Q104</f>
        <v>2946274</v>
      </c>
      <c r="R105" s="591">
        <f>R99+R102+R103+R104</f>
        <v>31953726</v>
      </c>
      <c r="S105" s="599"/>
      <c r="T105" s="585"/>
      <c r="U105" s="585"/>
      <c r="V105" s="585"/>
    </row>
    <row r="106" spans="1:22" ht="18" customHeight="1">
      <c r="A106" s="1218" t="s">
        <v>1499</v>
      </c>
      <c r="B106" s="593"/>
      <c r="C106" s="593"/>
      <c r="D106" s="593"/>
      <c r="E106" s="593"/>
      <c r="F106" s="593"/>
      <c r="G106" s="593"/>
      <c r="H106" s="593"/>
      <c r="I106" s="593"/>
      <c r="J106" s="1206" t="s">
        <v>3582</v>
      </c>
      <c r="K106" s="1200" t="s">
        <v>1295</v>
      </c>
      <c r="L106" s="1200" t="s">
        <v>1505</v>
      </c>
      <c r="M106" s="1206" t="s">
        <v>3647</v>
      </c>
      <c r="N106" s="1206" t="s">
        <v>3648</v>
      </c>
      <c r="O106" s="1207"/>
      <c r="P106" s="586">
        <v>10066536</v>
      </c>
      <c r="Q106" s="587">
        <v>9835746</v>
      </c>
      <c r="R106" s="587">
        <f t="shared" ref="R106:R174" si="5">P106-Q106</f>
        <v>230790</v>
      </c>
      <c r="S106" s="1225" t="s">
        <v>3649</v>
      </c>
      <c r="T106" s="585"/>
      <c r="U106" s="585"/>
      <c r="V106" s="585"/>
    </row>
    <row r="107" spans="1:22" ht="18" customHeight="1">
      <c r="A107" s="1218"/>
      <c r="B107" s="593"/>
      <c r="C107" s="593"/>
      <c r="D107" s="593"/>
      <c r="E107" s="593"/>
      <c r="F107" s="593"/>
      <c r="G107" s="593"/>
      <c r="H107" s="593"/>
      <c r="I107" s="593"/>
      <c r="J107" s="1207"/>
      <c r="K107" s="1207"/>
      <c r="L107" s="1207"/>
      <c r="M107" s="1207"/>
      <c r="N107" s="1206" t="s">
        <v>3650</v>
      </c>
      <c r="O107" s="1207"/>
      <c r="P107" s="586">
        <v>33579968</v>
      </c>
      <c r="Q107" s="587">
        <v>26863976</v>
      </c>
      <c r="R107" s="587">
        <f t="shared" si="5"/>
        <v>6715992</v>
      </c>
      <c r="S107" s="1225"/>
      <c r="T107" s="585"/>
      <c r="U107" s="585"/>
      <c r="V107" s="585"/>
    </row>
    <row r="108" spans="1:22" ht="18" customHeight="1">
      <c r="A108" s="1218"/>
      <c r="B108" s="593"/>
      <c r="C108" s="593"/>
      <c r="D108" s="593"/>
      <c r="E108" s="593"/>
      <c r="F108" s="593"/>
      <c r="G108" s="593"/>
      <c r="H108" s="593"/>
      <c r="I108" s="593"/>
      <c r="J108" s="1207"/>
      <c r="K108" s="1207"/>
      <c r="L108" s="1207"/>
      <c r="M108" s="1207"/>
      <c r="N108" s="1206" t="s">
        <v>3651</v>
      </c>
      <c r="O108" s="1207"/>
      <c r="P108" s="586">
        <v>14058812</v>
      </c>
      <c r="Q108" s="587">
        <v>11247048</v>
      </c>
      <c r="R108" s="587">
        <f t="shared" si="5"/>
        <v>2811764</v>
      </c>
      <c r="S108" s="1225"/>
      <c r="T108" s="585"/>
      <c r="U108" s="585"/>
      <c r="V108" s="585"/>
    </row>
    <row r="109" spans="1:22" ht="18" customHeight="1">
      <c r="A109" s="1219"/>
      <c r="B109" s="593"/>
      <c r="C109" s="593"/>
      <c r="D109" s="593"/>
      <c r="E109" s="593"/>
      <c r="F109" s="593"/>
      <c r="G109" s="593"/>
      <c r="H109" s="593"/>
      <c r="I109" s="593"/>
      <c r="J109" s="1207"/>
      <c r="K109" s="1207"/>
      <c r="L109" s="1207"/>
      <c r="M109" s="1207"/>
      <c r="N109" s="1206" t="s">
        <v>3652</v>
      </c>
      <c r="O109" s="1207"/>
      <c r="P109" s="586">
        <v>12294684</v>
      </c>
      <c r="Q109" s="587">
        <v>8053230</v>
      </c>
      <c r="R109" s="587">
        <f t="shared" si="5"/>
        <v>4241454</v>
      </c>
      <c r="S109" s="1225"/>
      <c r="T109" s="585"/>
      <c r="U109" s="585"/>
      <c r="V109" s="585"/>
    </row>
    <row r="110" spans="1:22" ht="15" customHeight="1">
      <c r="A110" s="1219"/>
      <c r="B110" s="593"/>
      <c r="C110" s="593"/>
      <c r="D110" s="593"/>
      <c r="E110" s="593"/>
      <c r="F110" s="593"/>
      <c r="G110" s="593"/>
      <c r="H110" s="593"/>
      <c r="I110" s="593"/>
      <c r="J110" s="1207"/>
      <c r="K110" s="1207"/>
      <c r="L110" s="1210" t="s">
        <v>3653</v>
      </c>
      <c r="M110" s="1207"/>
      <c r="N110" s="1207"/>
      <c r="O110" s="1207"/>
      <c r="P110" s="588">
        <f>SUM(P106:P109)</f>
        <v>70000000</v>
      </c>
      <c r="Q110" s="588">
        <f>SUM(Q106:Q109)</f>
        <v>56000000</v>
      </c>
      <c r="R110" s="588">
        <f>SUM(R106:R109)</f>
        <v>14000000</v>
      </c>
      <c r="S110" s="600"/>
      <c r="T110" s="585"/>
      <c r="U110" s="585"/>
      <c r="V110" s="585"/>
    </row>
    <row r="111" spans="1:22" ht="51.75" customHeight="1">
      <c r="A111" s="1218" t="s">
        <v>1499</v>
      </c>
      <c r="B111" s="593"/>
      <c r="C111" s="593"/>
      <c r="D111" s="593"/>
      <c r="E111" s="593"/>
      <c r="F111" s="593"/>
      <c r="G111" s="593"/>
      <c r="H111" s="593"/>
      <c r="I111" s="593"/>
      <c r="J111" s="1206" t="s">
        <v>3587</v>
      </c>
      <c r="K111" s="1206" t="s">
        <v>1321</v>
      </c>
      <c r="L111" s="589" t="s">
        <v>1328</v>
      </c>
      <c r="M111" s="590" t="s">
        <v>1781</v>
      </c>
      <c r="N111" s="1200" t="s">
        <v>3654</v>
      </c>
      <c r="O111" s="1234"/>
      <c r="P111" s="586">
        <v>3300000</v>
      </c>
      <c r="Q111" s="586">
        <v>0</v>
      </c>
      <c r="R111" s="587">
        <f t="shared" si="5"/>
        <v>3300000</v>
      </c>
      <c r="S111" s="595" t="s">
        <v>3655</v>
      </c>
      <c r="T111" s="585"/>
      <c r="U111" s="585"/>
      <c r="V111" s="585"/>
    </row>
    <row r="112" spans="1:22" ht="15" customHeight="1">
      <c r="A112" s="1218"/>
      <c r="B112" s="593"/>
      <c r="C112" s="593"/>
      <c r="D112" s="593"/>
      <c r="E112" s="593"/>
      <c r="F112" s="593"/>
      <c r="G112" s="593"/>
      <c r="H112" s="593"/>
      <c r="I112" s="593"/>
      <c r="J112" s="1206"/>
      <c r="K112" s="1207"/>
      <c r="L112" s="1210" t="s">
        <v>3614</v>
      </c>
      <c r="M112" s="1207"/>
      <c r="N112" s="1207"/>
      <c r="O112" s="1207"/>
      <c r="P112" s="588">
        <f>SUM(P111)</f>
        <v>3300000</v>
      </c>
      <c r="Q112" s="588">
        <f>SUM(Q111)</f>
        <v>0</v>
      </c>
      <c r="R112" s="588">
        <f>SUM(R111)</f>
        <v>3300000</v>
      </c>
      <c r="S112" s="600"/>
      <c r="T112" s="585"/>
      <c r="U112" s="585"/>
      <c r="V112" s="585"/>
    </row>
    <row r="113" spans="1:22" ht="51.75" customHeight="1">
      <c r="A113" s="1238"/>
      <c r="B113" s="593"/>
      <c r="C113" s="593"/>
      <c r="D113" s="593"/>
      <c r="E113" s="593"/>
      <c r="F113" s="593"/>
      <c r="G113" s="593"/>
      <c r="H113" s="593"/>
      <c r="I113" s="593"/>
      <c r="J113" s="1238"/>
      <c r="K113" s="1207" t="s">
        <v>1321</v>
      </c>
      <c r="L113" s="589" t="s">
        <v>1330</v>
      </c>
      <c r="M113" s="594" t="s">
        <v>1781</v>
      </c>
      <c r="N113" s="1206" t="s">
        <v>3654</v>
      </c>
      <c r="O113" s="1207"/>
      <c r="P113" s="587">
        <v>403069</v>
      </c>
      <c r="Q113" s="587">
        <v>403069</v>
      </c>
      <c r="R113" s="587">
        <f t="shared" si="5"/>
        <v>0</v>
      </c>
      <c r="S113" s="595" t="s">
        <v>3656</v>
      </c>
      <c r="T113" s="585"/>
      <c r="U113" s="585"/>
      <c r="V113" s="585"/>
    </row>
    <row r="114" spans="1:22" ht="15" customHeight="1">
      <c r="A114" s="1238"/>
      <c r="B114" s="593"/>
      <c r="C114" s="593"/>
      <c r="D114" s="593"/>
      <c r="E114" s="593"/>
      <c r="F114" s="593"/>
      <c r="G114" s="593"/>
      <c r="H114" s="593"/>
      <c r="I114" s="593"/>
      <c r="J114" s="1238"/>
      <c r="K114" s="1207"/>
      <c r="L114" s="1210" t="s">
        <v>3607</v>
      </c>
      <c r="M114" s="1207"/>
      <c r="N114" s="1207"/>
      <c r="O114" s="1207"/>
      <c r="P114" s="588">
        <f>SUM(P113)</f>
        <v>403069</v>
      </c>
      <c r="Q114" s="588">
        <f>SUM(Q113)</f>
        <v>403069</v>
      </c>
      <c r="R114" s="588">
        <f>SUM(R113)</f>
        <v>0</v>
      </c>
      <c r="S114" s="601"/>
      <c r="T114" s="585"/>
      <c r="U114" s="585"/>
      <c r="V114" s="585"/>
    </row>
    <row r="115" spans="1:22" ht="24.9" customHeight="1">
      <c r="A115" s="1238"/>
      <c r="B115" s="593"/>
      <c r="C115" s="593"/>
      <c r="D115" s="593"/>
      <c r="E115" s="593"/>
      <c r="F115" s="593"/>
      <c r="G115" s="593"/>
      <c r="H115" s="593"/>
      <c r="I115" s="593"/>
      <c r="J115" s="1238"/>
      <c r="K115" s="1206" t="s">
        <v>1330</v>
      </c>
      <c r="L115" s="1200" t="s">
        <v>1511</v>
      </c>
      <c r="M115" s="1206" t="s">
        <v>3647</v>
      </c>
      <c r="N115" s="1206" t="s">
        <v>3648</v>
      </c>
      <c r="O115" s="1207"/>
      <c r="P115" s="587">
        <v>3963747</v>
      </c>
      <c r="Q115" s="587">
        <v>3963747</v>
      </c>
      <c r="R115" s="587">
        <f t="shared" si="5"/>
        <v>0</v>
      </c>
      <c r="S115" s="595" t="s">
        <v>3657</v>
      </c>
      <c r="T115" s="585"/>
      <c r="U115" s="585"/>
      <c r="V115" s="585"/>
    </row>
    <row r="116" spans="1:22" ht="24.9" customHeight="1">
      <c r="A116" s="1238"/>
      <c r="B116" s="593"/>
      <c r="C116" s="593"/>
      <c r="D116" s="593"/>
      <c r="E116" s="593"/>
      <c r="F116" s="593"/>
      <c r="G116" s="593"/>
      <c r="H116" s="593"/>
      <c r="I116" s="593"/>
      <c r="J116" s="1238"/>
      <c r="K116" s="1206"/>
      <c r="L116" s="1200"/>
      <c r="M116" s="1206"/>
      <c r="N116" s="1206" t="s">
        <v>3658</v>
      </c>
      <c r="O116" s="1207"/>
      <c r="P116" s="587">
        <v>4000000</v>
      </c>
      <c r="Q116" s="587">
        <v>0</v>
      </c>
      <c r="R116" s="587">
        <f t="shared" si="5"/>
        <v>4000000</v>
      </c>
      <c r="S116" s="595" t="s">
        <v>3659</v>
      </c>
      <c r="T116" s="585"/>
      <c r="U116" s="585"/>
      <c r="V116" s="585"/>
    </row>
    <row r="117" spans="1:22" ht="15" customHeight="1">
      <c r="A117" s="1238"/>
      <c r="B117" s="593"/>
      <c r="C117" s="593"/>
      <c r="D117" s="593"/>
      <c r="E117" s="593"/>
      <c r="F117" s="593"/>
      <c r="G117" s="593"/>
      <c r="H117" s="593"/>
      <c r="I117" s="593"/>
      <c r="J117" s="1238"/>
      <c r="K117" s="1206"/>
      <c r="L117" s="1210" t="s">
        <v>3660</v>
      </c>
      <c r="M117" s="1210"/>
      <c r="N117" s="1210"/>
      <c r="O117" s="1210"/>
      <c r="P117" s="588">
        <f>SUM(P115:P116)</f>
        <v>7963747</v>
      </c>
      <c r="Q117" s="588">
        <f>SUM(Q115:Q116)</f>
        <v>3963747</v>
      </c>
      <c r="R117" s="588">
        <f>SUM(R115:R116)</f>
        <v>4000000</v>
      </c>
      <c r="S117" s="601"/>
      <c r="T117" s="585"/>
      <c r="U117" s="585"/>
      <c r="V117" s="585"/>
    </row>
    <row r="118" spans="1:22" ht="24.6" customHeight="1">
      <c r="A118" s="1217" t="s">
        <v>3661</v>
      </c>
      <c r="B118" s="1217"/>
      <c r="C118" s="1217"/>
      <c r="D118" s="1217"/>
      <c r="E118" s="1217"/>
      <c r="F118" s="1217"/>
      <c r="G118" s="1217"/>
      <c r="H118" s="1217"/>
      <c r="I118" s="1217"/>
      <c r="J118" s="1217"/>
      <c r="K118" s="1217"/>
      <c r="L118" s="1217"/>
      <c r="M118" s="1217"/>
      <c r="N118" s="1217"/>
      <c r="O118" s="1217"/>
      <c r="P118" s="591">
        <f>P110+P112+P114+P117</f>
        <v>81666816</v>
      </c>
      <c r="Q118" s="591">
        <f>Q110+Q112+Q114+Q117</f>
        <v>60366816</v>
      </c>
      <c r="R118" s="591">
        <f>R110+R112+R114+R117</f>
        <v>21300000</v>
      </c>
      <c r="S118" s="601"/>
      <c r="T118" s="585"/>
      <c r="U118" s="585"/>
      <c r="V118" s="585"/>
    </row>
    <row r="119" spans="1:22" ht="24.6" customHeight="1">
      <c r="A119" s="1218" t="s">
        <v>1518</v>
      </c>
      <c r="B119" s="594"/>
      <c r="C119" s="594"/>
      <c r="D119" s="594"/>
      <c r="E119" s="594"/>
      <c r="F119" s="594"/>
      <c r="G119" s="594"/>
      <c r="H119" s="594"/>
      <c r="I119" s="594"/>
      <c r="J119" s="1206" t="s">
        <v>3582</v>
      </c>
      <c r="K119" s="1206" t="s">
        <v>1321</v>
      </c>
      <c r="L119" s="1206" t="s">
        <v>1529</v>
      </c>
      <c r="M119" s="594" t="s">
        <v>3662</v>
      </c>
      <c r="N119" s="1206" t="s">
        <v>1586</v>
      </c>
      <c r="O119" s="1207"/>
      <c r="P119" s="587">
        <f>47000+10000</f>
        <v>57000</v>
      </c>
      <c r="Q119" s="587">
        <v>57000</v>
      </c>
      <c r="R119" s="587">
        <f t="shared" si="5"/>
        <v>0</v>
      </c>
      <c r="S119" s="1225" t="s">
        <v>3663</v>
      </c>
      <c r="T119" s="585"/>
      <c r="U119" s="585"/>
      <c r="V119" s="585"/>
    </row>
    <row r="120" spans="1:22" ht="24.6" customHeight="1">
      <c r="A120" s="1218"/>
      <c r="B120" s="594"/>
      <c r="C120" s="594"/>
      <c r="D120" s="594"/>
      <c r="E120" s="594"/>
      <c r="F120" s="594"/>
      <c r="G120" s="594"/>
      <c r="H120" s="594"/>
      <c r="I120" s="594"/>
      <c r="J120" s="1206"/>
      <c r="K120" s="1206"/>
      <c r="L120" s="1206"/>
      <c r="M120" s="1206" t="s">
        <v>3664</v>
      </c>
      <c r="N120" s="1206" t="s">
        <v>1599</v>
      </c>
      <c r="O120" s="1207"/>
      <c r="P120" s="587">
        <v>26000</v>
      </c>
      <c r="Q120" s="587">
        <v>26000</v>
      </c>
      <c r="R120" s="587">
        <f t="shared" si="5"/>
        <v>0</v>
      </c>
      <c r="S120" s="1238"/>
      <c r="T120" s="585"/>
      <c r="U120" s="585"/>
      <c r="V120" s="585"/>
    </row>
    <row r="121" spans="1:22" ht="24.6" customHeight="1">
      <c r="A121" s="1218"/>
      <c r="B121" s="594"/>
      <c r="C121" s="594"/>
      <c r="D121" s="594"/>
      <c r="E121" s="594"/>
      <c r="F121" s="594"/>
      <c r="G121" s="594"/>
      <c r="H121" s="594"/>
      <c r="I121" s="594"/>
      <c r="J121" s="1206"/>
      <c r="K121" s="1206"/>
      <c r="L121" s="1206"/>
      <c r="M121" s="1206"/>
      <c r="N121" s="1206" t="s">
        <v>1600</v>
      </c>
      <c r="O121" s="1207"/>
      <c r="P121" s="587">
        <v>40000</v>
      </c>
      <c r="Q121" s="587">
        <v>40000</v>
      </c>
      <c r="R121" s="587">
        <f t="shared" si="5"/>
        <v>0</v>
      </c>
      <c r="S121" s="1238"/>
      <c r="T121" s="585"/>
      <c r="U121" s="585"/>
      <c r="V121" s="585"/>
    </row>
    <row r="122" spans="1:22" ht="24.6" customHeight="1">
      <c r="A122" s="1218"/>
      <c r="B122" s="594"/>
      <c r="C122" s="594"/>
      <c r="D122" s="594"/>
      <c r="E122" s="594"/>
      <c r="F122" s="594"/>
      <c r="G122" s="594"/>
      <c r="H122" s="594"/>
      <c r="I122" s="594"/>
      <c r="J122" s="1206"/>
      <c r="K122" s="1206"/>
      <c r="L122" s="1206"/>
      <c r="M122" s="1206" t="s">
        <v>3665</v>
      </c>
      <c r="N122" s="1206" t="s">
        <v>1617</v>
      </c>
      <c r="O122" s="1207"/>
      <c r="P122" s="587">
        <v>47500</v>
      </c>
      <c r="Q122" s="587">
        <v>47500</v>
      </c>
      <c r="R122" s="587">
        <f t="shared" si="5"/>
        <v>0</v>
      </c>
      <c r="S122" s="1238"/>
      <c r="T122" s="585"/>
      <c r="U122" s="585"/>
      <c r="V122" s="585"/>
    </row>
    <row r="123" spans="1:22" ht="24.6" customHeight="1">
      <c r="A123" s="1218"/>
      <c r="B123" s="594"/>
      <c r="C123" s="594"/>
      <c r="D123" s="594"/>
      <c r="E123" s="594"/>
      <c r="F123" s="594"/>
      <c r="G123" s="594"/>
      <c r="H123" s="594"/>
      <c r="I123" s="594"/>
      <c r="J123" s="1206"/>
      <c r="K123" s="1206"/>
      <c r="L123" s="1206"/>
      <c r="M123" s="1206"/>
      <c r="N123" s="1206" t="s">
        <v>1618</v>
      </c>
      <c r="O123" s="1207"/>
      <c r="P123" s="587">
        <v>58500</v>
      </c>
      <c r="Q123" s="587">
        <v>58500</v>
      </c>
      <c r="R123" s="587">
        <f t="shared" si="5"/>
        <v>0</v>
      </c>
      <c r="S123" s="1238"/>
      <c r="T123" s="585"/>
      <c r="U123" s="585"/>
      <c r="V123" s="585"/>
    </row>
    <row r="124" spans="1:22" ht="24.6" customHeight="1">
      <c r="A124" s="1218"/>
      <c r="B124" s="594"/>
      <c r="C124" s="594"/>
      <c r="D124" s="594"/>
      <c r="E124" s="594"/>
      <c r="F124" s="594"/>
      <c r="G124" s="594"/>
      <c r="H124" s="594"/>
      <c r="I124" s="594"/>
      <c r="J124" s="1206"/>
      <c r="K124" s="1206"/>
      <c r="L124" s="1206"/>
      <c r="M124" s="1206" t="s">
        <v>3666</v>
      </c>
      <c r="N124" s="1206" t="s">
        <v>1626</v>
      </c>
      <c r="O124" s="1207"/>
      <c r="P124" s="587">
        <v>17000</v>
      </c>
      <c r="Q124" s="587">
        <v>17000</v>
      </c>
      <c r="R124" s="587">
        <f t="shared" si="5"/>
        <v>0</v>
      </c>
      <c r="S124" s="1238"/>
      <c r="T124" s="585"/>
      <c r="U124" s="585"/>
      <c r="V124" s="585"/>
    </row>
    <row r="125" spans="1:22" ht="24.6" customHeight="1">
      <c r="A125" s="1218"/>
      <c r="B125" s="594"/>
      <c r="C125" s="594"/>
      <c r="D125" s="594"/>
      <c r="E125" s="594"/>
      <c r="F125" s="594"/>
      <c r="G125" s="594"/>
      <c r="H125" s="594"/>
      <c r="I125" s="594"/>
      <c r="J125" s="1206"/>
      <c r="K125" s="1206"/>
      <c r="L125" s="1206"/>
      <c r="M125" s="1206"/>
      <c r="N125" s="1206" t="s">
        <v>1640</v>
      </c>
      <c r="O125" s="1207"/>
      <c r="P125" s="587">
        <v>74000</v>
      </c>
      <c r="Q125" s="587">
        <v>74000</v>
      </c>
      <c r="R125" s="587">
        <f t="shared" si="5"/>
        <v>0</v>
      </c>
      <c r="S125" s="1238"/>
      <c r="T125" s="585"/>
      <c r="U125" s="585"/>
      <c r="V125" s="585"/>
    </row>
    <row r="126" spans="1:22" ht="24.6" customHeight="1">
      <c r="A126" s="1218"/>
      <c r="B126" s="594"/>
      <c r="C126" s="594"/>
      <c r="D126" s="594"/>
      <c r="E126" s="594"/>
      <c r="F126" s="594"/>
      <c r="G126" s="594"/>
      <c r="H126" s="594"/>
      <c r="I126" s="594"/>
      <c r="J126" s="1206"/>
      <c r="K126" s="1206"/>
      <c r="L126" s="1206"/>
      <c r="M126" s="1206"/>
      <c r="N126" s="1206" t="s">
        <v>1642</v>
      </c>
      <c r="O126" s="1207"/>
      <c r="P126" s="587">
        <v>59000</v>
      </c>
      <c r="Q126" s="587">
        <v>59000</v>
      </c>
      <c r="R126" s="587">
        <f t="shared" si="5"/>
        <v>0</v>
      </c>
      <c r="S126" s="1238"/>
      <c r="T126" s="585"/>
      <c r="U126" s="585"/>
      <c r="V126" s="585"/>
    </row>
    <row r="127" spans="1:22" ht="24.6" customHeight="1">
      <c r="A127" s="1218"/>
      <c r="B127" s="594"/>
      <c r="C127" s="594"/>
      <c r="D127" s="594"/>
      <c r="E127" s="594"/>
      <c r="F127" s="594"/>
      <c r="G127" s="594"/>
      <c r="H127" s="594"/>
      <c r="I127" s="594"/>
      <c r="J127" s="1206"/>
      <c r="K127" s="1206"/>
      <c r="L127" s="1206"/>
      <c r="M127" s="1206"/>
      <c r="N127" s="1206" t="s">
        <v>1643</v>
      </c>
      <c r="O127" s="1207"/>
      <c r="P127" s="587">
        <f>17000+12000</f>
        <v>29000</v>
      </c>
      <c r="Q127" s="587">
        <v>29000</v>
      </c>
      <c r="R127" s="587">
        <f t="shared" si="5"/>
        <v>0</v>
      </c>
      <c r="S127" s="1238"/>
      <c r="T127" s="585"/>
      <c r="U127" s="585"/>
      <c r="V127" s="585"/>
    </row>
    <row r="128" spans="1:22" ht="24.6" customHeight="1">
      <c r="A128" s="1218"/>
      <c r="B128" s="594"/>
      <c r="C128" s="594"/>
      <c r="D128" s="594"/>
      <c r="E128" s="594"/>
      <c r="F128" s="594"/>
      <c r="G128" s="594"/>
      <c r="H128" s="594"/>
      <c r="I128" s="594"/>
      <c r="J128" s="1206"/>
      <c r="K128" s="1206"/>
      <c r="L128" s="1206"/>
      <c r="M128" s="1206"/>
      <c r="N128" s="1206" t="s">
        <v>1645</v>
      </c>
      <c r="O128" s="1207"/>
      <c r="P128" s="587">
        <v>20000</v>
      </c>
      <c r="Q128" s="587">
        <v>20000</v>
      </c>
      <c r="R128" s="587">
        <f t="shared" si="5"/>
        <v>0</v>
      </c>
      <c r="S128" s="1238"/>
      <c r="T128" s="585"/>
      <c r="U128" s="585"/>
      <c r="V128" s="585"/>
    </row>
    <row r="129" spans="1:22" ht="24.6" customHeight="1">
      <c r="A129" s="1218"/>
      <c r="B129" s="594"/>
      <c r="C129" s="594"/>
      <c r="D129" s="594"/>
      <c r="E129" s="594"/>
      <c r="F129" s="594"/>
      <c r="G129" s="594"/>
      <c r="H129" s="594"/>
      <c r="I129" s="594"/>
      <c r="J129" s="1206"/>
      <c r="K129" s="1206"/>
      <c r="L129" s="1206"/>
      <c r="M129" s="1206"/>
      <c r="N129" s="1206" t="s">
        <v>3667</v>
      </c>
      <c r="O129" s="1207"/>
      <c r="P129" s="587">
        <v>112500</v>
      </c>
      <c r="Q129" s="587">
        <v>112500</v>
      </c>
      <c r="R129" s="587">
        <f t="shared" si="5"/>
        <v>0</v>
      </c>
      <c r="S129" s="1238"/>
      <c r="T129" s="585"/>
      <c r="U129" s="585"/>
      <c r="V129" s="585"/>
    </row>
    <row r="130" spans="1:22" ht="24.6" customHeight="1">
      <c r="A130" s="1223"/>
      <c r="B130" s="594"/>
      <c r="C130" s="594"/>
      <c r="D130" s="594"/>
      <c r="E130" s="594"/>
      <c r="F130" s="594"/>
      <c r="G130" s="594"/>
      <c r="H130" s="594"/>
      <c r="I130" s="594"/>
      <c r="J130" s="1223"/>
      <c r="K130" s="1223"/>
      <c r="L130" s="1223"/>
      <c r="M130" s="1206" t="s">
        <v>3668</v>
      </c>
      <c r="N130" s="1206" t="s">
        <v>1665</v>
      </c>
      <c r="O130" s="1207"/>
      <c r="P130" s="587">
        <v>55500</v>
      </c>
      <c r="Q130" s="587">
        <v>55500</v>
      </c>
      <c r="R130" s="587">
        <f t="shared" si="5"/>
        <v>0</v>
      </c>
      <c r="S130" s="1238"/>
      <c r="T130" s="585"/>
      <c r="U130" s="585"/>
      <c r="V130" s="585"/>
    </row>
    <row r="131" spans="1:22" ht="24.6" customHeight="1">
      <c r="A131" s="1223"/>
      <c r="B131" s="594"/>
      <c r="C131" s="594"/>
      <c r="D131" s="594"/>
      <c r="E131" s="594"/>
      <c r="F131" s="594"/>
      <c r="G131" s="594"/>
      <c r="H131" s="594"/>
      <c r="I131" s="594"/>
      <c r="J131" s="1223"/>
      <c r="K131" s="1223"/>
      <c r="L131" s="1223"/>
      <c r="M131" s="1206"/>
      <c r="N131" s="1206" t="s">
        <v>1666</v>
      </c>
      <c r="O131" s="1207"/>
      <c r="P131" s="587">
        <v>26000</v>
      </c>
      <c r="Q131" s="587">
        <v>26000</v>
      </c>
      <c r="R131" s="587">
        <f t="shared" si="5"/>
        <v>0</v>
      </c>
      <c r="S131" s="1238"/>
      <c r="T131" s="585"/>
      <c r="U131" s="585"/>
      <c r="V131" s="585"/>
    </row>
    <row r="132" spans="1:22" ht="24.6" customHeight="1">
      <c r="A132" s="1223"/>
      <c r="B132" s="594"/>
      <c r="C132" s="594"/>
      <c r="D132" s="594"/>
      <c r="E132" s="594"/>
      <c r="F132" s="594"/>
      <c r="G132" s="594"/>
      <c r="H132" s="594"/>
      <c r="I132" s="594"/>
      <c r="J132" s="1223"/>
      <c r="K132" s="1223"/>
      <c r="L132" s="1223"/>
      <c r="M132" s="1206" t="s">
        <v>3669</v>
      </c>
      <c r="N132" s="1206" t="s">
        <v>1673</v>
      </c>
      <c r="O132" s="1207"/>
      <c r="P132" s="587">
        <v>20000</v>
      </c>
      <c r="Q132" s="587">
        <v>20000</v>
      </c>
      <c r="R132" s="587">
        <f t="shared" si="5"/>
        <v>0</v>
      </c>
      <c r="S132" s="1238"/>
      <c r="T132" s="585"/>
      <c r="U132" s="585"/>
      <c r="V132" s="585"/>
    </row>
    <row r="133" spans="1:22" ht="24.6" customHeight="1">
      <c r="A133" s="1223"/>
      <c r="B133" s="594"/>
      <c r="C133" s="594"/>
      <c r="D133" s="594"/>
      <c r="E133" s="594"/>
      <c r="F133" s="594"/>
      <c r="G133" s="594"/>
      <c r="H133" s="594"/>
      <c r="I133" s="594"/>
      <c r="J133" s="1223"/>
      <c r="K133" s="1223"/>
      <c r="L133" s="1223"/>
      <c r="M133" s="1206"/>
      <c r="N133" s="1206" t="s">
        <v>1675</v>
      </c>
      <c r="O133" s="1207"/>
      <c r="P133" s="587">
        <v>81000</v>
      </c>
      <c r="Q133" s="587">
        <v>81000</v>
      </c>
      <c r="R133" s="587">
        <f t="shared" si="5"/>
        <v>0</v>
      </c>
      <c r="S133" s="1238"/>
      <c r="T133" s="585"/>
      <c r="U133" s="585"/>
      <c r="V133" s="585"/>
    </row>
    <row r="134" spans="1:22" ht="24.6" customHeight="1">
      <c r="A134" s="1223"/>
      <c r="B134" s="594"/>
      <c r="C134" s="594"/>
      <c r="D134" s="594"/>
      <c r="E134" s="594"/>
      <c r="F134" s="594"/>
      <c r="G134" s="594"/>
      <c r="H134" s="594"/>
      <c r="I134" s="594"/>
      <c r="J134" s="1223"/>
      <c r="K134" s="1223"/>
      <c r="L134" s="1223"/>
      <c r="M134" s="594" t="s">
        <v>3670</v>
      </c>
      <c r="N134" s="1206" t="s">
        <v>1687</v>
      </c>
      <c r="O134" s="1207"/>
      <c r="P134" s="587">
        <v>54000</v>
      </c>
      <c r="Q134" s="587">
        <v>54000</v>
      </c>
      <c r="R134" s="587">
        <f t="shared" si="5"/>
        <v>0</v>
      </c>
      <c r="S134" s="1238"/>
      <c r="T134" s="585"/>
      <c r="U134" s="585"/>
      <c r="V134" s="585"/>
    </row>
    <row r="135" spans="1:22" ht="24.6" customHeight="1">
      <c r="A135" s="1218" t="s">
        <v>1518</v>
      </c>
      <c r="B135" s="594"/>
      <c r="C135" s="594"/>
      <c r="D135" s="594"/>
      <c r="E135" s="594"/>
      <c r="F135" s="594"/>
      <c r="G135" s="594"/>
      <c r="H135" s="594"/>
      <c r="I135" s="594"/>
      <c r="J135" s="1206" t="s">
        <v>3582</v>
      </c>
      <c r="K135" s="1206" t="s">
        <v>1321</v>
      </c>
      <c r="L135" s="1206" t="s">
        <v>1529</v>
      </c>
      <c r="M135" s="1206" t="s">
        <v>3670</v>
      </c>
      <c r="N135" s="1206" t="s">
        <v>1688</v>
      </c>
      <c r="O135" s="1207"/>
      <c r="P135" s="587">
        <v>96500</v>
      </c>
      <c r="Q135" s="587">
        <v>96500</v>
      </c>
      <c r="R135" s="587">
        <f t="shared" si="5"/>
        <v>0</v>
      </c>
      <c r="S135" s="1238"/>
      <c r="T135" s="585"/>
      <c r="U135" s="585"/>
      <c r="V135" s="585"/>
    </row>
    <row r="136" spans="1:22" ht="24.6" customHeight="1">
      <c r="A136" s="1218"/>
      <c r="B136" s="594"/>
      <c r="C136" s="594"/>
      <c r="D136" s="594"/>
      <c r="E136" s="594"/>
      <c r="F136" s="594"/>
      <c r="G136" s="594"/>
      <c r="H136" s="594"/>
      <c r="I136" s="594"/>
      <c r="J136" s="1206"/>
      <c r="K136" s="1206"/>
      <c r="L136" s="1206"/>
      <c r="M136" s="1206"/>
      <c r="N136" s="1206" t="s">
        <v>1689</v>
      </c>
      <c r="O136" s="1207"/>
      <c r="P136" s="587">
        <v>40000</v>
      </c>
      <c r="Q136" s="587">
        <v>40000</v>
      </c>
      <c r="R136" s="587">
        <f t="shared" si="5"/>
        <v>0</v>
      </c>
      <c r="S136" s="1238"/>
      <c r="T136" s="585"/>
      <c r="U136" s="585"/>
      <c r="V136" s="585"/>
    </row>
    <row r="137" spans="1:22" ht="15" customHeight="1">
      <c r="A137" s="1218"/>
      <c r="B137" s="594"/>
      <c r="C137" s="594"/>
      <c r="D137" s="594"/>
      <c r="E137" s="594"/>
      <c r="F137" s="594"/>
      <c r="G137" s="594"/>
      <c r="H137" s="594"/>
      <c r="I137" s="594"/>
      <c r="J137" s="1206"/>
      <c r="K137" s="1206"/>
      <c r="L137" s="1210" t="s">
        <v>3671</v>
      </c>
      <c r="M137" s="1210"/>
      <c r="N137" s="1210"/>
      <c r="O137" s="1210"/>
      <c r="P137" s="588">
        <f>SUM(P119:P136)</f>
        <v>913500</v>
      </c>
      <c r="Q137" s="588">
        <f>SUM(Q119:Q136)</f>
        <v>913500</v>
      </c>
      <c r="R137" s="588">
        <f>SUM(R119:R136)</f>
        <v>0</v>
      </c>
      <c r="S137" s="601"/>
      <c r="T137" s="585"/>
      <c r="U137" s="585"/>
      <c r="V137" s="585"/>
    </row>
    <row r="138" spans="1:22" ht="24.6" customHeight="1">
      <c r="A138" s="1218"/>
      <c r="B138" s="594"/>
      <c r="C138" s="594"/>
      <c r="D138" s="594"/>
      <c r="E138" s="594"/>
      <c r="F138" s="594"/>
      <c r="G138" s="594"/>
      <c r="H138" s="594"/>
      <c r="I138" s="594"/>
      <c r="J138" s="1206"/>
      <c r="K138" s="1206"/>
      <c r="L138" s="1206" t="s">
        <v>1326</v>
      </c>
      <c r="M138" s="1200" t="s">
        <v>3662</v>
      </c>
      <c r="N138" s="1206" t="s">
        <v>1580</v>
      </c>
      <c r="O138" s="1207"/>
      <c r="P138" s="587">
        <v>110000</v>
      </c>
      <c r="Q138" s="587">
        <v>110000</v>
      </c>
      <c r="R138" s="587">
        <f t="shared" si="5"/>
        <v>0</v>
      </c>
      <c r="S138" s="1225" t="s">
        <v>3672</v>
      </c>
      <c r="T138" s="585"/>
      <c r="U138" s="585"/>
      <c r="V138" s="585"/>
    </row>
    <row r="139" spans="1:22" ht="24.6" customHeight="1">
      <c r="A139" s="1218"/>
      <c r="B139" s="594"/>
      <c r="C139" s="594"/>
      <c r="D139" s="594"/>
      <c r="E139" s="594"/>
      <c r="F139" s="594"/>
      <c r="G139" s="594"/>
      <c r="H139" s="594"/>
      <c r="I139" s="594"/>
      <c r="J139" s="1206"/>
      <c r="K139" s="1206"/>
      <c r="L139" s="1206"/>
      <c r="M139" s="1206"/>
      <c r="N139" s="1206" t="s">
        <v>1582</v>
      </c>
      <c r="O139" s="1207"/>
      <c r="P139" s="587">
        <v>120000</v>
      </c>
      <c r="Q139" s="587">
        <v>120000</v>
      </c>
      <c r="R139" s="587">
        <f t="shared" si="5"/>
        <v>0</v>
      </c>
      <c r="S139" s="1238"/>
      <c r="T139" s="585"/>
      <c r="U139" s="585"/>
      <c r="V139" s="585"/>
    </row>
    <row r="140" spans="1:22" ht="24.6" customHeight="1">
      <c r="A140" s="1218"/>
      <c r="B140" s="594"/>
      <c r="C140" s="594"/>
      <c r="D140" s="594"/>
      <c r="E140" s="594"/>
      <c r="F140" s="594"/>
      <c r="G140" s="594"/>
      <c r="H140" s="594"/>
      <c r="I140" s="594"/>
      <c r="J140" s="1206"/>
      <c r="K140" s="1206"/>
      <c r="L140" s="1206"/>
      <c r="M140" s="1206"/>
      <c r="N140" s="1206" t="s">
        <v>1583</v>
      </c>
      <c r="O140" s="1207"/>
      <c r="P140" s="587">
        <v>10000</v>
      </c>
      <c r="Q140" s="587">
        <v>10000</v>
      </c>
      <c r="R140" s="587">
        <f t="shared" si="5"/>
        <v>0</v>
      </c>
      <c r="S140" s="1238"/>
      <c r="T140" s="585"/>
      <c r="U140" s="585"/>
      <c r="V140" s="585"/>
    </row>
    <row r="141" spans="1:22" ht="24.6" customHeight="1">
      <c r="A141" s="1218"/>
      <c r="B141" s="594"/>
      <c r="C141" s="594"/>
      <c r="D141" s="594"/>
      <c r="E141" s="594"/>
      <c r="F141" s="594"/>
      <c r="G141" s="594"/>
      <c r="H141" s="594"/>
      <c r="I141" s="594"/>
      <c r="J141" s="1206"/>
      <c r="K141" s="1206"/>
      <c r="L141" s="1206"/>
      <c r="M141" s="1206"/>
      <c r="N141" s="1206" t="s">
        <v>1584</v>
      </c>
      <c r="O141" s="1207"/>
      <c r="P141" s="587">
        <v>160000</v>
      </c>
      <c r="Q141" s="587">
        <v>160000</v>
      </c>
      <c r="R141" s="587">
        <f t="shared" si="5"/>
        <v>0</v>
      </c>
      <c r="S141" s="1238"/>
      <c r="T141" s="585"/>
      <c r="U141" s="585"/>
      <c r="V141" s="585"/>
    </row>
    <row r="142" spans="1:22" ht="24.6" customHeight="1">
      <c r="A142" s="1218"/>
      <c r="B142" s="594"/>
      <c r="C142" s="594"/>
      <c r="D142" s="594"/>
      <c r="E142" s="594"/>
      <c r="F142" s="594"/>
      <c r="G142" s="594"/>
      <c r="H142" s="594"/>
      <c r="I142" s="594"/>
      <c r="J142" s="1206"/>
      <c r="K142" s="1206"/>
      <c r="L142" s="1206"/>
      <c r="M142" s="1206"/>
      <c r="N142" s="1206" t="s">
        <v>1585</v>
      </c>
      <c r="O142" s="1207"/>
      <c r="P142" s="587">
        <v>430000</v>
      </c>
      <c r="Q142" s="587">
        <v>430000</v>
      </c>
      <c r="R142" s="587">
        <f t="shared" si="5"/>
        <v>0</v>
      </c>
      <c r="S142" s="1238"/>
      <c r="T142" s="585"/>
      <c r="U142" s="585"/>
      <c r="V142" s="585"/>
    </row>
    <row r="143" spans="1:22" ht="24.6" customHeight="1">
      <c r="A143" s="1218"/>
      <c r="B143" s="594"/>
      <c r="C143" s="594"/>
      <c r="D143" s="594"/>
      <c r="E143" s="594"/>
      <c r="F143" s="594"/>
      <c r="G143" s="594"/>
      <c r="H143" s="594"/>
      <c r="I143" s="594"/>
      <c r="J143" s="1206"/>
      <c r="K143" s="1206"/>
      <c r="L143" s="1206"/>
      <c r="M143" s="1206"/>
      <c r="N143" s="1206" t="s">
        <v>1586</v>
      </c>
      <c r="O143" s="1207"/>
      <c r="P143" s="587">
        <v>190000</v>
      </c>
      <c r="Q143" s="587">
        <v>190000</v>
      </c>
      <c r="R143" s="587">
        <f t="shared" si="5"/>
        <v>0</v>
      </c>
      <c r="S143" s="1238"/>
      <c r="T143" s="585"/>
      <c r="U143" s="585"/>
      <c r="V143" s="585"/>
    </row>
    <row r="144" spans="1:22" ht="24.6" customHeight="1">
      <c r="A144" s="1218" t="s">
        <v>1518</v>
      </c>
      <c r="B144" s="594"/>
      <c r="C144" s="594"/>
      <c r="D144" s="594"/>
      <c r="E144" s="594"/>
      <c r="F144" s="594"/>
      <c r="G144" s="594"/>
      <c r="H144" s="594"/>
      <c r="I144" s="594"/>
      <c r="J144" s="1206" t="s">
        <v>3582</v>
      </c>
      <c r="K144" s="1200" t="s">
        <v>1321</v>
      </c>
      <c r="L144" s="1206" t="s">
        <v>1326</v>
      </c>
      <c r="M144" s="1200" t="s">
        <v>3662</v>
      </c>
      <c r="N144" s="1206" t="s">
        <v>1587</v>
      </c>
      <c r="O144" s="1207"/>
      <c r="P144" s="587">
        <v>170000</v>
      </c>
      <c r="Q144" s="587">
        <v>170000</v>
      </c>
      <c r="R144" s="587">
        <f t="shared" si="5"/>
        <v>0</v>
      </c>
      <c r="S144" s="1225" t="s">
        <v>3672</v>
      </c>
      <c r="T144" s="585"/>
      <c r="U144" s="585"/>
      <c r="V144" s="585"/>
    </row>
    <row r="145" spans="1:22" ht="24.6" customHeight="1">
      <c r="A145" s="1223"/>
      <c r="B145" s="594"/>
      <c r="C145" s="594"/>
      <c r="D145" s="594"/>
      <c r="E145" s="594"/>
      <c r="F145" s="594"/>
      <c r="G145" s="594"/>
      <c r="H145" s="594"/>
      <c r="I145" s="594"/>
      <c r="J145" s="1223"/>
      <c r="K145" s="1223"/>
      <c r="L145" s="1223"/>
      <c r="M145" s="1207"/>
      <c r="N145" s="1206" t="s">
        <v>1588</v>
      </c>
      <c r="O145" s="1207"/>
      <c r="P145" s="587">
        <v>160000</v>
      </c>
      <c r="Q145" s="587">
        <v>160000</v>
      </c>
      <c r="R145" s="587">
        <f t="shared" si="5"/>
        <v>0</v>
      </c>
      <c r="S145" s="1238"/>
      <c r="T145" s="585"/>
      <c r="U145" s="585"/>
      <c r="V145" s="585"/>
    </row>
    <row r="146" spans="1:22" ht="24.6" customHeight="1">
      <c r="A146" s="1223"/>
      <c r="B146" s="594"/>
      <c r="C146" s="594"/>
      <c r="D146" s="594"/>
      <c r="E146" s="594"/>
      <c r="F146" s="594"/>
      <c r="G146" s="594"/>
      <c r="H146" s="594"/>
      <c r="I146" s="594"/>
      <c r="J146" s="1223"/>
      <c r="K146" s="1223"/>
      <c r="L146" s="1223"/>
      <c r="M146" s="1206" t="s">
        <v>3664</v>
      </c>
      <c r="N146" s="1206" t="s">
        <v>1592</v>
      </c>
      <c r="O146" s="1206"/>
      <c r="P146" s="587">
        <v>260000</v>
      </c>
      <c r="Q146" s="587">
        <v>260000</v>
      </c>
      <c r="R146" s="587">
        <f t="shared" si="5"/>
        <v>0</v>
      </c>
      <c r="S146" s="1238"/>
      <c r="T146" s="585"/>
      <c r="U146" s="585"/>
      <c r="V146" s="585"/>
    </row>
    <row r="147" spans="1:22" ht="24.6" customHeight="1">
      <c r="A147" s="1223"/>
      <c r="B147" s="594"/>
      <c r="C147" s="594"/>
      <c r="D147" s="594"/>
      <c r="E147" s="594"/>
      <c r="F147" s="594"/>
      <c r="G147" s="594"/>
      <c r="H147" s="594"/>
      <c r="I147" s="594"/>
      <c r="J147" s="1223"/>
      <c r="K147" s="1223"/>
      <c r="L147" s="1223"/>
      <c r="M147" s="1206"/>
      <c r="N147" s="1206" t="s">
        <v>1593</v>
      </c>
      <c r="O147" s="1206"/>
      <c r="P147" s="587">
        <v>30000</v>
      </c>
      <c r="Q147" s="587">
        <v>30000</v>
      </c>
      <c r="R147" s="587">
        <f t="shared" si="5"/>
        <v>0</v>
      </c>
      <c r="S147" s="1238"/>
      <c r="T147" s="585"/>
      <c r="U147" s="585"/>
      <c r="V147" s="585"/>
    </row>
    <row r="148" spans="1:22" ht="24.6" customHeight="1">
      <c r="A148" s="1223"/>
      <c r="B148" s="594"/>
      <c r="C148" s="594"/>
      <c r="D148" s="594"/>
      <c r="E148" s="594"/>
      <c r="F148" s="594"/>
      <c r="G148" s="594"/>
      <c r="H148" s="594"/>
      <c r="I148" s="594"/>
      <c r="J148" s="1223"/>
      <c r="K148" s="1223"/>
      <c r="L148" s="1223"/>
      <c r="M148" s="1206"/>
      <c r="N148" s="1206" t="s">
        <v>1594</v>
      </c>
      <c r="O148" s="1206"/>
      <c r="P148" s="587">
        <v>50000</v>
      </c>
      <c r="Q148" s="587">
        <v>50000</v>
      </c>
      <c r="R148" s="587">
        <f t="shared" si="5"/>
        <v>0</v>
      </c>
      <c r="S148" s="1238"/>
      <c r="T148" s="585"/>
      <c r="U148" s="585"/>
      <c r="V148" s="585"/>
    </row>
    <row r="149" spans="1:22" ht="24.6" customHeight="1">
      <c r="A149" s="1223"/>
      <c r="B149" s="594"/>
      <c r="C149" s="594"/>
      <c r="D149" s="594"/>
      <c r="E149" s="594"/>
      <c r="F149" s="594"/>
      <c r="G149" s="594"/>
      <c r="H149" s="594"/>
      <c r="I149" s="594"/>
      <c r="J149" s="1223"/>
      <c r="K149" s="1223"/>
      <c r="L149" s="1223"/>
      <c r="M149" s="1206"/>
      <c r="N149" s="1206" t="s">
        <v>1595</v>
      </c>
      <c r="O149" s="1206"/>
      <c r="P149" s="587">
        <v>10000</v>
      </c>
      <c r="Q149" s="587">
        <v>10000</v>
      </c>
      <c r="R149" s="587">
        <f t="shared" si="5"/>
        <v>0</v>
      </c>
      <c r="S149" s="1238"/>
      <c r="T149" s="585"/>
      <c r="U149" s="585"/>
      <c r="V149" s="585"/>
    </row>
    <row r="150" spans="1:22" ht="24.6" customHeight="1">
      <c r="A150" s="1223"/>
      <c r="B150" s="594"/>
      <c r="C150" s="594"/>
      <c r="D150" s="594"/>
      <c r="E150" s="594"/>
      <c r="F150" s="594"/>
      <c r="G150" s="594"/>
      <c r="H150" s="594"/>
      <c r="I150" s="594"/>
      <c r="J150" s="1223"/>
      <c r="K150" s="1223"/>
      <c r="L150" s="1223"/>
      <c r="M150" s="1206"/>
      <c r="N150" s="1206" t="s">
        <v>1597</v>
      </c>
      <c r="O150" s="1206"/>
      <c r="P150" s="587">
        <v>160000</v>
      </c>
      <c r="Q150" s="587">
        <v>160000</v>
      </c>
      <c r="R150" s="587">
        <f t="shared" si="5"/>
        <v>0</v>
      </c>
      <c r="S150" s="1238"/>
      <c r="T150" s="585"/>
      <c r="U150" s="585"/>
      <c r="V150" s="585"/>
    </row>
    <row r="151" spans="1:22" ht="24.6" customHeight="1">
      <c r="A151" s="1223"/>
      <c r="B151" s="594"/>
      <c r="C151" s="594"/>
      <c r="D151" s="594"/>
      <c r="E151" s="594"/>
      <c r="F151" s="594"/>
      <c r="G151" s="594"/>
      <c r="H151" s="594"/>
      <c r="I151" s="594"/>
      <c r="J151" s="1223"/>
      <c r="K151" s="1223"/>
      <c r="L151" s="1223"/>
      <c r="M151" s="1206"/>
      <c r="N151" s="1206" t="s">
        <v>1598</v>
      </c>
      <c r="O151" s="1206"/>
      <c r="P151" s="587">
        <v>130000</v>
      </c>
      <c r="Q151" s="587">
        <v>130000</v>
      </c>
      <c r="R151" s="587">
        <f t="shared" si="5"/>
        <v>0</v>
      </c>
      <c r="S151" s="1238"/>
      <c r="T151" s="585"/>
      <c r="U151" s="585"/>
      <c r="V151" s="585"/>
    </row>
    <row r="152" spans="1:22" ht="24.6" customHeight="1">
      <c r="A152" s="1223"/>
      <c r="B152" s="594"/>
      <c r="C152" s="594"/>
      <c r="D152" s="594"/>
      <c r="E152" s="594"/>
      <c r="F152" s="594"/>
      <c r="G152" s="594"/>
      <c r="H152" s="594"/>
      <c r="I152" s="594"/>
      <c r="J152" s="1223"/>
      <c r="K152" s="1223"/>
      <c r="L152" s="1223"/>
      <c r="M152" s="1206"/>
      <c r="N152" s="1206" t="s">
        <v>1599</v>
      </c>
      <c r="O152" s="1206"/>
      <c r="P152" s="587">
        <v>300000</v>
      </c>
      <c r="Q152" s="587">
        <v>300000</v>
      </c>
      <c r="R152" s="587">
        <f t="shared" si="5"/>
        <v>0</v>
      </c>
      <c r="S152" s="1238"/>
      <c r="T152" s="585"/>
      <c r="U152" s="585"/>
      <c r="V152" s="585"/>
    </row>
    <row r="153" spans="1:22" ht="24.6" customHeight="1">
      <c r="A153" s="1223"/>
      <c r="B153" s="594"/>
      <c r="C153" s="594"/>
      <c r="D153" s="594"/>
      <c r="E153" s="594"/>
      <c r="F153" s="594"/>
      <c r="G153" s="594"/>
      <c r="H153" s="594"/>
      <c r="I153" s="594"/>
      <c r="J153" s="1223"/>
      <c r="K153" s="1223"/>
      <c r="L153" s="1223"/>
      <c r="M153" s="1206"/>
      <c r="N153" s="1206" t="s">
        <v>1600</v>
      </c>
      <c r="O153" s="1206"/>
      <c r="P153" s="587">
        <v>390000</v>
      </c>
      <c r="Q153" s="587">
        <v>390000</v>
      </c>
      <c r="R153" s="587">
        <f t="shared" si="5"/>
        <v>0</v>
      </c>
      <c r="S153" s="1238"/>
      <c r="T153" s="585"/>
      <c r="U153" s="585"/>
      <c r="V153" s="585"/>
    </row>
    <row r="154" spans="1:22" ht="24.6" customHeight="1">
      <c r="A154" s="1223"/>
      <c r="B154" s="594"/>
      <c r="C154" s="594"/>
      <c r="D154" s="594"/>
      <c r="E154" s="594"/>
      <c r="F154" s="594"/>
      <c r="G154" s="594"/>
      <c r="H154" s="594"/>
      <c r="I154" s="594"/>
      <c r="J154" s="1223"/>
      <c r="K154" s="1223"/>
      <c r="L154" s="1223"/>
      <c r="M154" s="1206"/>
      <c r="N154" s="1206" t="s">
        <v>1601</v>
      </c>
      <c r="O154" s="1206"/>
      <c r="P154" s="587">
        <v>120000</v>
      </c>
      <c r="Q154" s="587">
        <v>120000</v>
      </c>
      <c r="R154" s="587">
        <f t="shared" si="5"/>
        <v>0</v>
      </c>
      <c r="S154" s="1238"/>
      <c r="T154" s="585"/>
      <c r="U154" s="585"/>
      <c r="V154" s="585"/>
    </row>
    <row r="155" spans="1:22" ht="24.6" customHeight="1">
      <c r="A155" s="1223"/>
      <c r="B155" s="594"/>
      <c r="C155" s="594"/>
      <c r="D155" s="594"/>
      <c r="E155" s="594"/>
      <c r="F155" s="594"/>
      <c r="G155" s="594"/>
      <c r="H155" s="594"/>
      <c r="I155" s="594"/>
      <c r="J155" s="1223"/>
      <c r="K155" s="1223"/>
      <c r="L155" s="1223"/>
      <c r="M155" s="1207"/>
      <c r="N155" s="1206" t="s">
        <v>1602</v>
      </c>
      <c r="O155" s="1206"/>
      <c r="P155" s="587">
        <v>100000</v>
      </c>
      <c r="Q155" s="587">
        <v>100000</v>
      </c>
      <c r="R155" s="587">
        <f t="shared" si="5"/>
        <v>0</v>
      </c>
      <c r="S155" s="1238"/>
      <c r="T155" s="585"/>
      <c r="U155" s="585"/>
      <c r="V155" s="585"/>
    </row>
    <row r="156" spans="1:22" ht="24.6" customHeight="1">
      <c r="A156" s="1223"/>
      <c r="B156" s="594"/>
      <c r="C156" s="594"/>
      <c r="D156" s="594"/>
      <c r="E156" s="594"/>
      <c r="F156" s="594"/>
      <c r="G156" s="594"/>
      <c r="H156" s="594"/>
      <c r="I156" s="594"/>
      <c r="J156" s="1223"/>
      <c r="K156" s="1223"/>
      <c r="L156" s="1223"/>
      <c r="M156" s="1207"/>
      <c r="N156" s="1206" t="s">
        <v>1603</v>
      </c>
      <c r="O156" s="1206"/>
      <c r="P156" s="587">
        <v>280000</v>
      </c>
      <c r="Q156" s="587">
        <v>280000</v>
      </c>
      <c r="R156" s="587">
        <f t="shared" si="5"/>
        <v>0</v>
      </c>
      <c r="S156" s="1238"/>
      <c r="T156" s="585"/>
      <c r="U156" s="585"/>
      <c r="V156" s="585"/>
    </row>
    <row r="157" spans="1:22" ht="24.6" customHeight="1">
      <c r="A157" s="1223"/>
      <c r="B157" s="594"/>
      <c r="C157" s="594"/>
      <c r="D157" s="594"/>
      <c r="E157" s="594"/>
      <c r="F157" s="594"/>
      <c r="G157" s="594"/>
      <c r="H157" s="594"/>
      <c r="I157" s="594"/>
      <c r="J157" s="1223"/>
      <c r="K157" s="1223"/>
      <c r="L157" s="1223"/>
      <c r="M157" s="1207"/>
      <c r="N157" s="1206" t="s">
        <v>1604</v>
      </c>
      <c r="O157" s="1206"/>
      <c r="P157" s="587">
        <v>140000</v>
      </c>
      <c r="Q157" s="587">
        <v>140000</v>
      </c>
      <c r="R157" s="587">
        <f t="shared" si="5"/>
        <v>0</v>
      </c>
      <c r="S157" s="1238"/>
      <c r="T157" s="585"/>
      <c r="U157" s="585"/>
      <c r="V157" s="585"/>
    </row>
    <row r="158" spans="1:22" ht="24.6" customHeight="1">
      <c r="A158" s="1223"/>
      <c r="B158" s="594"/>
      <c r="C158" s="594"/>
      <c r="D158" s="594"/>
      <c r="E158" s="594"/>
      <c r="F158" s="594"/>
      <c r="G158" s="594"/>
      <c r="H158" s="594"/>
      <c r="I158" s="594"/>
      <c r="J158" s="1223"/>
      <c r="K158" s="1223"/>
      <c r="L158" s="1223"/>
      <c r="M158" s="1207"/>
      <c r="N158" s="1206" t="s">
        <v>3673</v>
      </c>
      <c r="O158" s="1206"/>
      <c r="P158" s="587">
        <v>130000</v>
      </c>
      <c r="Q158" s="587">
        <v>130000</v>
      </c>
      <c r="R158" s="587">
        <f t="shared" si="5"/>
        <v>0</v>
      </c>
      <c r="S158" s="1238"/>
      <c r="T158" s="585"/>
      <c r="U158" s="585"/>
      <c r="V158" s="585"/>
    </row>
    <row r="159" spans="1:22" ht="24.6" customHeight="1">
      <c r="A159" s="1223"/>
      <c r="B159" s="594"/>
      <c r="C159" s="594"/>
      <c r="D159" s="594"/>
      <c r="E159" s="594"/>
      <c r="F159" s="594"/>
      <c r="G159" s="594"/>
      <c r="H159" s="594"/>
      <c r="I159" s="594"/>
      <c r="J159" s="1223"/>
      <c r="K159" s="1223"/>
      <c r="L159" s="1223"/>
      <c r="M159" s="1206" t="s">
        <v>3664</v>
      </c>
      <c r="N159" s="1206" t="s">
        <v>1609</v>
      </c>
      <c r="O159" s="1206"/>
      <c r="P159" s="587">
        <v>20000</v>
      </c>
      <c r="Q159" s="587">
        <v>20000</v>
      </c>
      <c r="R159" s="587">
        <f t="shared" si="5"/>
        <v>0</v>
      </c>
      <c r="S159" s="1238"/>
      <c r="T159" s="585"/>
      <c r="U159" s="585"/>
      <c r="V159" s="585"/>
    </row>
    <row r="160" spans="1:22" ht="24.6" customHeight="1">
      <c r="A160" s="1223"/>
      <c r="B160" s="594"/>
      <c r="C160" s="594"/>
      <c r="D160" s="594"/>
      <c r="E160" s="594"/>
      <c r="F160" s="594"/>
      <c r="G160" s="594"/>
      <c r="H160" s="594"/>
      <c r="I160" s="594"/>
      <c r="J160" s="1223"/>
      <c r="K160" s="1223"/>
      <c r="L160" s="1223"/>
      <c r="M160" s="1206"/>
      <c r="N160" s="1206" t="s">
        <v>1610</v>
      </c>
      <c r="O160" s="1206"/>
      <c r="P160" s="587">
        <v>50000</v>
      </c>
      <c r="Q160" s="587">
        <v>50000</v>
      </c>
      <c r="R160" s="587">
        <f t="shared" si="5"/>
        <v>0</v>
      </c>
      <c r="S160" s="1238"/>
      <c r="T160" s="585"/>
      <c r="U160" s="585"/>
      <c r="V160" s="585"/>
    </row>
    <row r="161" spans="1:22" ht="24.6" customHeight="1">
      <c r="A161" s="1223"/>
      <c r="B161" s="594"/>
      <c r="C161" s="594"/>
      <c r="D161" s="594"/>
      <c r="E161" s="594"/>
      <c r="F161" s="594"/>
      <c r="G161" s="594"/>
      <c r="H161" s="594"/>
      <c r="I161" s="594"/>
      <c r="J161" s="1223"/>
      <c r="K161" s="1223"/>
      <c r="L161" s="1223"/>
      <c r="M161" s="1206"/>
      <c r="N161" s="1206" t="s">
        <v>1611</v>
      </c>
      <c r="O161" s="1206"/>
      <c r="P161" s="587">
        <v>30000</v>
      </c>
      <c r="Q161" s="587">
        <v>30000</v>
      </c>
      <c r="R161" s="587">
        <f t="shared" si="5"/>
        <v>0</v>
      </c>
      <c r="S161" s="1238"/>
      <c r="T161" s="585"/>
      <c r="U161" s="585"/>
      <c r="V161" s="585"/>
    </row>
    <row r="162" spans="1:22" ht="24.6" customHeight="1">
      <c r="A162" s="1223"/>
      <c r="B162" s="594"/>
      <c r="C162" s="594"/>
      <c r="D162" s="594"/>
      <c r="E162" s="594"/>
      <c r="F162" s="594"/>
      <c r="G162" s="594"/>
      <c r="H162" s="594"/>
      <c r="I162" s="594"/>
      <c r="J162" s="1223"/>
      <c r="K162" s="1223"/>
      <c r="L162" s="1223"/>
      <c r="M162" s="1206"/>
      <c r="N162" s="1206" t="s">
        <v>1612</v>
      </c>
      <c r="O162" s="1206"/>
      <c r="P162" s="587">
        <v>70000</v>
      </c>
      <c r="Q162" s="587">
        <v>70000</v>
      </c>
      <c r="R162" s="587">
        <f t="shared" si="5"/>
        <v>0</v>
      </c>
      <c r="S162" s="1238"/>
      <c r="T162" s="585"/>
      <c r="U162" s="585"/>
      <c r="V162" s="585"/>
    </row>
    <row r="163" spans="1:22" ht="24.6" customHeight="1">
      <c r="A163" s="1223"/>
      <c r="B163" s="594"/>
      <c r="C163" s="594"/>
      <c r="D163" s="594"/>
      <c r="E163" s="594"/>
      <c r="F163" s="594"/>
      <c r="G163" s="594"/>
      <c r="H163" s="594"/>
      <c r="I163" s="594"/>
      <c r="J163" s="1223"/>
      <c r="K163" s="1223"/>
      <c r="L163" s="1223"/>
      <c r="M163" s="1206" t="s">
        <v>3665</v>
      </c>
      <c r="N163" s="1206" t="s">
        <v>1615</v>
      </c>
      <c r="O163" s="1206"/>
      <c r="P163" s="587">
        <v>140000</v>
      </c>
      <c r="Q163" s="587">
        <v>140000</v>
      </c>
      <c r="R163" s="587">
        <f t="shared" si="5"/>
        <v>0</v>
      </c>
      <c r="S163" s="1238"/>
      <c r="T163" s="585"/>
      <c r="U163" s="585"/>
      <c r="V163" s="585"/>
    </row>
    <row r="164" spans="1:22" ht="24.6" customHeight="1">
      <c r="A164" s="1223"/>
      <c r="B164" s="594"/>
      <c r="C164" s="594"/>
      <c r="D164" s="594"/>
      <c r="E164" s="594"/>
      <c r="F164" s="594"/>
      <c r="G164" s="594"/>
      <c r="H164" s="594"/>
      <c r="I164" s="594"/>
      <c r="J164" s="1223"/>
      <c r="K164" s="1223"/>
      <c r="L164" s="1223"/>
      <c r="M164" s="1206"/>
      <c r="N164" s="1206" t="s">
        <v>1616</v>
      </c>
      <c r="O164" s="1206"/>
      <c r="P164" s="587">
        <v>100000</v>
      </c>
      <c r="Q164" s="587">
        <v>100000</v>
      </c>
      <c r="R164" s="587">
        <f t="shared" si="5"/>
        <v>0</v>
      </c>
      <c r="S164" s="1238"/>
      <c r="T164" s="585"/>
      <c r="U164" s="585"/>
      <c r="V164" s="585"/>
    </row>
    <row r="165" spans="1:22" ht="24.6" customHeight="1">
      <c r="A165" s="1223"/>
      <c r="B165" s="594"/>
      <c r="C165" s="594"/>
      <c r="D165" s="594"/>
      <c r="E165" s="594"/>
      <c r="F165" s="594"/>
      <c r="G165" s="594"/>
      <c r="H165" s="594"/>
      <c r="I165" s="594"/>
      <c r="J165" s="1223"/>
      <c r="K165" s="1223"/>
      <c r="L165" s="1223"/>
      <c r="M165" s="1206"/>
      <c r="N165" s="1206" t="s">
        <v>1617</v>
      </c>
      <c r="O165" s="1206"/>
      <c r="P165" s="587">
        <v>180000</v>
      </c>
      <c r="Q165" s="587">
        <v>180000</v>
      </c>
      <c r="R165" s="587">
        <f t="shared" si="5"/>
        <v>0</v>
      </c>
      <c r="S165" s="1238"/>
      <c r="T165" s="585"/>
      <c r="U165" s="585"/>
      <c r="V165" s="585"/>
    </row>
    <row r="166" spans="1:22" ht="24.6" customHeight="1">
      <c r="A166" s="1223"/>
      <c r="B166" s="594"/>
      <c r="C166" s="594"/>
      <c r="D166" s="594"/>
      <c r="E166" s="594"/>
      <c r="F166" s="594"/>
      <c r="G166" s="594"/>
      <c r="H166" s="594"/>
      <c r="I166" s="594"/>
      <c r="J166" s="1223"/>
      <c r="K166" s="1223"/>
      <c r="L166" s="1223"/>
      <c r="M166" s="1206"/>
      <c r="N166" s="1206" t="s">
        <v>1618</v>
      </c>
      <c r="O166" s="1206"/>
      <c r="P166" s="587">
        <f>270000+200000</f>
        <v>470000</v>
      </c>
      <c r="Q166" s="587">
        <v>470000</v>
      </c>
      <c r="R166" s="587">
        <f t="shared" si="5"/>
        <v>0</v>
      </c>
      <c r="S166" s="595" t="s">
        <v>3674</v>
      </c>
      <c r="T166" s="585"/>
      <c r="U166" s="585"/>
      <c r="V166" s="585"/>
    </row>
    <row r="167" spans="1:22" ht="24.6" customHeight="1">
      <c r="A167" s="1223"/>
      <c r="B167" s="594"/>
      <c r="C167" s="594"/>
      <c r="D167" s="594"/>
      <c r="E167" s="594"/>
      <c r="F167" s="594"/>
      <c r="G167" s="594"/>
      <c r="H167" s="594"/>
      <c r="I167" s="594"/>
      <c r="J167" s="1223"/>
      <c r="K167" s="1223"/>
      <c r="L167" s="1223"/>
      <c r="M167" s="1206"/>
      <c r="N167" s="1206" t="s">
        <v>1619</v>
      </c>
      <c r="O167" s="1206"/>
      <c r="P167" s="587">
        <v>50000</v>
      </c>
      <c r="Q167" s="587">
        <v>50000</v>
      </c>
      <c r="R167" s="587">
        <f t="shared" si="5"/>
        <v>0</v>
      </c>
      <c r="S167" s="1239" t="s">
        <v>3672</v>
      </c>
      <c r="T167" s="585"/>
      <c r="U167" s="585"/>
      <c r="V167" s="585"/>
    </row>
    <row r="168" spans="1:22" ht="24.6" customHeight="1">
      <c r="A168" s="1223"/>
      <c r="B168" s="594"/>
      <c r="C168" s="594"/>
      <c r="D168" s="594"/>
      <c r="E168" s="594"/>
      <c r="F168" s="594"/>
      <c r="G168" s="594"/>
      <c r="H168" s="594"/>
      <c r="I168" s="594"/>
      <c r="J168" s="1223"/>
      <c r="K168" s="1223"/>
      <c r="L168" s="1223"/>
      <c r="M168" s="589" t="s">
        <v>3675</v>
      </c>
      <c r="N168" s="1206" t="s">
        <v>1622</v>
      </c>
      <c r="O168" s="1206"/>
      <c r="P168" s="587">
        <v>200000</v>
      </c>
      <c r="Q168" s="587">
        <v>200000</v>
      </c>
      <c r="R168" s="587">
        <f t="shared" si="5"/>
        <v>0</v>
      </c>
      <c r="S168" s="1239"/>
      <c r="T168" s="585"/>
      <c r="U168" s="585"/>
      <c r="V168" s="585"/>
    </row>
    <row r="169" spans="1:22" ht="24.6" customHeight="1">
      <c r="A169" s="1240" t="s">
        <v>1518</v>
      </c>
      <c r="B169" s="594"/>
      <c r="C169" s="594"/>
      <c r="D169" s="594"/>
      <c r="E169" s="594"/>
      <c r="F169" s="594"/>
      <c r="G169" s="594"/>
      <c r="H169" s="594"/>
      <c r="I169" s="594"/>
      <c r="J169" s="1206" t="s">
        <v>3582</v>
      </c>
      <c r="K169" s="1208" t="s">
        <v>1321</v>
      </c>
      <c r="L169" s="1206" t="s">
        <v>1326</v>
      </c>
      <c r="M169" s="1200" t="s">
        <v>3666</v>
      </c>
      <c r="N169" s="1206" t="s">
        <v>1623</v>
      </c>
      <c r="O169" s="1206"/>
      <c r="P169" s="587">
        <f>170000+70000</f>
        <v>240000</v>
      </c>
      <c r="Q169" s="587">
        <v>240000</v>
      </c>
      <c r="R169" s="587">
        <f t="shared" si="5"/>
        <v>0</v>
      </c>
      <c r="S169" s="595" t="s">
        <v>3674</v>
      </c>
      <c r="T169" s="585"/>
      <c r="U169" s="585"/>
      <c r="V169" s="585"/>
    </row>
    <row r="170" spans="1:22" ht="24.6" customHeight="1">
      <c r="A170" s="1223"/>
      <c r="B170" s="594"/>
      <c r="C170" s="594"/>
      <c r="D170" s="594"/>
      <c r="E170" s="594"/>
      <c r="F170" s="594"/>
      <c r="G170" s="594"/>
      <c r="H170" s="594"/>
      <c r="I170" s="594"/>
      <c r="J170" s="1223"/>
      <c r="K170" s="1241"/>
      <c r="L170" s="1223"/>
      <c r="M170" s="1223"/>
      <c r="N170" s="1206" t="s">
        <v>1624</v>
      </c>
      <c r="O170" s="1206"/>
      <c r="P170" s="587">
        <v>200000</v>
      </c>
      <c r="Q170" s="587">
        <v>200000</v>
      </c>
      <c r="R170" s="587">
        <f t="shared" si="5"/>
        <v>0</v>
      </c>
      <c r="S170" s="1239" t="s">
        <v>3672</v>
      </c>
      <c r="T170" s="585"/>
      <c r="U170" s="585"/>
      <c r="V170" s="585"/>
    </row>
    <row r="171" spans="1:22" ht="24.6" customHeight="1">
      <c r="A171" s="1223"/>
      <c r="B171" s="594"/>
      <c r="C171" s="594"/>
      <c r="D171" s="594"/>
      <c r="E171" s="594"/>
      <c r="F171" s="594"/>
      <c r="G171" s="594"/>
      <c r="H171" s="594"/>
      <c r="I171" s="594"/>
      <c r="J171" s="1223"/>
      <c r="K171" s="1241"/>
      <c r="L171" s="1223"/>
      <c r="M171" s="1223"/>
      <c r="N171" s="1206" t="s">
        <v>1625</v>
      </c>
      <c r="O171" s="1206"/>
      <c r="P171" s="587">
        <v>370000</v>
      </c>
      <c r="Q171" s="587">
        <v>370000</v>
      </c>
      <c r="R171" s="587">
        <f t="shared" si="5"/>
        <v>0</v>
      </c>
      <c r="S171" s="1239"/>
      <c r="T171" s="585"/>
      <c r="U171" s="585"/>
      <c r="V171" s="585"/>
    </row>
    <row r="172" spans="1:22" ht="24.6" customHeight="1">
      <c r="A172" s="1223"/>
      <c r="B172" s="594"/>
      <c r="C172" s="594"/>
      <c r="D172" s="594"/>
      <c r="E172" s="594"/>
      <c r="F172" s="594"/>
      <c r="G172" s="594"/>
      <c r="H172" s="594"/>
      <c r="I172" s="594"/>
      <c r="J172" s="1223"/>
      <c r="K172" s="1241"/>
      <c r="L172" s="1223"/>
      <c r="M172" s="1223"/>
      <c r="N172" s="1206" t="s">
        <v>1626</v>
      </c>
      <c r="O172" s="1206"/>
      <c r="P172" s="587">
        <v>280000</v>
      </c>
      <c r="Q172" s="587">
        <v>280000</v>
      </c>
      <c r="R172" s="587">
        <f t="shared" si="5"/>
        <v>0</v>
      </c>
      <c r="S172" s="1239"/>
      <c r="T172" s="585"/>
      <c r="U172" s="585"/>
      <c r="V172" s="585"/>
    </row>
    <row r="173" spans="1:22" ht="24.6" customHeight="1">
      <c r="A173" s="1223"/>
      <c r="B173" s="594"/>
      <c r="C173" s="594"/>
      <c r="D173" s="594"/>
      <c r="E173" s="594"/>
      <c r="F173" s="594"/>
      <c r="G173" s="594"/>
      <c r="H173" s="594"/>
      <c r="I173" s="594"/>
      <c r="J173" s="1223"/>
      <c r="K173" s="1241"/>
      <c r="L173" s="1223"/>
      <c r="M173" s="1223"/>
      <c r="N173" s="1206" t="s">
        <v>1627</v>
      </c>
      <c r="O173" s="1206"/>
      <c r="P173" s="587">
        <v>130000</v>
      </c>
      <c r="Q173" s="587">
        <v>130000</v>
      </c>
      <c r="R173" s="587">
        <f t="shared" si="5"/>
        <v>0</v>
      </c>
      <c r="S173" s="1239"/>
      <c r="T173" s="585"/>
      <c r="U173" s="585"/>
      <c r="V173" s="585"/>
    </row>
    <row r="174" spans="1:22" ht="39" customHeight="1">
      <c r="A174" s="1223"/>
      <c r="B174" s="594"/>
      <c r="C174" s="594"/>
      <c r="D174" s="594"/>
      <c r="E174" s="594"/>
      <c r="F174" s="594"/>
      <c r="G174" s="594"/>
      <c r="H174" s="594"/>
      <c r="I174" s="594"/>
      <c r="J174" s="1223"/>
      <c r="K174" s="1241"/>
      <c r="L174" s="1223"/>
      <c r="M174" s="1223"/>
      <c r="N174" s="1206" t="s">
        <v>1628</v>
      </c>
      <c r="O174" s="1206"/>
      <c r="P174" s="587">
        <f>500000+700000</f>
        <v>1200000</v>
      </c>
      <c r="Q174" s="587">
        <v>1200000</v>
      </c>
      <c r="R174" s="587">
        <f t="shared" si="5"/>
        <v>0</v>
      </c>
      <c r="S174" s="595" t="s">
        <v>3674</v>
      </c>
      <c r="T174" s="585"/>
      <c r="U174" s="585"/>
      <c r="V174" s="585"/>
    </row>
    <row r="175" spans="1:22" ht="24.6" customHeight="1">
      <c r="A175" s="1223"/>
      <c r="B175" s="594"/>
      <c r="C175" s="594"/>
      <c r="D175" s="594"/>
      <c r="E175" s="594"/>
      <c r="F175" s="594"/>
      <c r="G175" s="594"/>
      <c r="H175" s="594"/>
      <c r="I175" s="594"/>
      <c r="J175" s="1223"/>
      <c r="K175" s="1241"/>
      <c r="L175" s="1223"/>
      <c r="M175" s="1223"/>
      <c r="N175" s="1206" t="s">
        <v>1629</v>
      </c>
      <c r="O175" s="1206"/>
      <c r="P175" s="587">
        <v>160000</v>
      </c>
      <c r="Q175" s="587">
        <v>160000</v>
      </c>
      <c r="R175" s="587">
        <f t="shared" ref="R175:R223" si="6">P175-Q175</f>
        <v>0</v>
      </c>
      <c r="S175" s="1239" t="s">
        <v>3672</v>
      </c>
      <c r="T175" s="585"/>
      <c r="U175" s="585"/>
      <c r="V175" s="585"/>
    </row>
    <row r="176" spans="1:22" ht="24.6" customHeight="1">
      <c r="A176" s="1223"/>
      <c r="B176" s="594"/>
      <c r="C176" s="594"/>
      <c r="D176" s="594"/>
      <c r="E176" s="594"/>
      <c r="F176" s="594"/>
      <c r="G176" s="594"/>
      <c r="H176" s="594"/>
      <c r="I176" s="594"/>
      <c r="J176" s="1223"/>
      <c r="K176" s="1241"/>
      <c r="L176" s="1223"/>
      <c r="M176" s="1223"/>
      <c r="N176" s="1206" t="s">
        <v>1630</v>
      </c>
      <c r="O176" s="1206"/>
      <c r="P176" s="587">
        <v>150000</v>
      </c>
      <c r="Q176" s="587">
        <v>150000</v>
      </c>
      <c r="R176" s="587">
        <f t="shared" si="6"/>
        <v>0</v>
      </c>
      <c r="S176" s="1239"/>
      <c r="T176" s="585"/>
      <c r="U176" s="585"/>
      <c r="V176" s="585"/>
    </row>
    <row r="177" spans="1:22" ht="24.6" customHeight="1">
      <c r="A177" s="1223"/>
      <c r="B177" s="594"/>
      <c r="C177" s="594"/>
      <c r="D177" s="594"/>
      <c r="E177" s="594"/>
      <c r="F177" s="594"/>
      <c r="G177" s="594"/>
      <c r="H177" s="594"/>
      <c r="I177" s="594"/>
      <c r="J177" s="1223"/>
      <c r="K177" s="1241"/>
      <c r="L177" s="1223"/>
      <c r="M177" s="1223"/>
      <c r="N177" s="1206" t="s">
        <v>1631</v>
      </c>
      <c r="O177" s="1206"/>
      <c r="P177" s="587">
        <v>330000</v>
      </c>
      <c r="Q177" s="587">
        <v>330000</v>
      </c>
      <c r="R177" s="587">
        <f t="shared" si="6"/>
        <v>0</v>
      </c>
      <c r="S177" s="1239"/>
      <c r="T177" s="585"/>
      <c r="U177" s="585"/>
      <c r="V177" s="585"/>
    </row>
    <row r="178" spans="1:22" ht="24.6" customHeight="1">
      <c r="A178" s="1223"/>
      <c r="B178" s="594"/>
      <c r="C178" s="594"/>
      <c r="D178" s="594"/>
      <c r="E178" s="594"/>
      <c r="F178" s="594"/>
      <c r="G178" s="594"/>
      <c r="H178" s="594"/>
      <c r="I178" s="594"/>
      <c r="J178" s="1223"/>
      <c r="K178" s="1241"/>
      <c r="L178" s="1223"/>
      <c r="M178" s="1223"/>
      <c r="N178" s="1206" t="s">
        <v>1632</v>
      </c>
      <c r="O178" s="1206"/>
      <c r="P178" s="587">
        <v>150000</v>
      </c>
      <c r="Q178" s="587">
        <v>150000</v>
      </c>
      <c r="R178" s="587">
        <f t="shared" si="6"/>
        <v>0</v>
      </c>
      <c r="S178" s="1239"/>
      <c r="T178" s="585"/>
      <c r="U178" s="585"/>
      <c r="V178" s="585"/>
    </row>
    <row r="179" spans="1:22" ht="24.6" customHeight="1">
      <c r="A179" s="1223"/>
      <c r="B179" s="594"/>
      <c r="C179" s="594"/>
      <c r="D179" s="594"/>
      <c r="E179" s="594"/>
      <c r="F179" s="594"/>
      <c r="G179" s="594"/>
      <c r="H179" s="594"/>
      <c r="I179" s="594"/>
      <c r="J179" s="1223"/>
      <c r="K179" s="1241"/>
      <c r="L179" s="1223"/>
      <c r="M179" s="1223"/>
      <c r="N179" s="1206" t="s">
        <v>1633</v>
      </c>
      <c r="O179" s="1206"/>
      <c r="P179" s="587">
        <v>80000</v>
      </c>
      <c r="Q179" s="587">
        <v>80000</v>
      </c>
      <c r="R179" s="587">
        <f t="shared" si="6"/>
        <v>0</v>
      </c>
      <c r="S179" s="1239"/>
      <c r="T179" s="585"/>
      <c r="U179" s="585"/>
      <c r="V179" s="585"/>
    </row>
    <row r="180" spans="1:22" ht="24.6" customHeight="1">
      <c r="A180" s="1223"/>
      <c r="B180" s="594"/>
      <c r="C180" s="594"/>
      <c r="D180" s="594"/>
      <c r="E180" s="594"/>
      <c r="F180" s="594"/>
      <c r="G180" s="594"/>
      <c r="H180" s="594"/>
      <c r="I180" s="594"/>
      <c r="J180" s="1223"/>
      <c r="K180" s="1241"/>
      <c r="L180" s="1223"/>
      <c r="M180" s="1223"/>
      <c r="N180" s="1206" t="s">
        <v>1634</v>
      </c>
      <c r="O180" s="1206"/>
      <c r="P180" s="587">
        <v>300000</v>
      </c>
      <c r="Q180" s="587">
        <v>300000</v>
      </c>
      <c r="R180" s="587">
        <f t="shared" si="6"/>
        <v>0</v>
      </c>
      <c r="S180" s="1239"/>
      <c r="T180" s="585"/>
      <c r="U180" s="585"/>
      <c r="V180" s="585"/>
    </row>
    <row r="181" spans="1:22" ht="24.6" customHeight="1">
      <c r="A181" s="1223"/>
      <c r="B181" s="594"/>
      <c r="C181" s="594"/>
      <c r="D181" s="594"/>
      <c r="E181" s="594"/>
      <c r="F181" s="594"/>
      <c r="G181" s="594"/>
      <c r="H181" s="594"/>
      <c r="I181" s="594"/>
      <c r="J181" s="1223"/>
      <c r="K181" s="1241"/>
      <c r="L181" s="1223"/>
      <c r="M181" s="1223"/>
      <c r="N181" s="1206" t="s">
        <v>1636</v>
      </c>
      <c r="O181" s="1206"/>
      <c r="P181" s="587">
        <v>400000</v>
      </c>
      <c r="Q181" s="587">
        <v>400000</v>
      </c>
      <c r="R181" s="587">
        <f t="shared" si="6"/>
        <v>0</v>
      </c>
      <c r="S181" s="1239"/>
      <c r="T181" s="585"/>
      <c r="U181" s="585"/>
      <c r="V181" s="585"/>
    </row>
    <row r="182" spans="1:22" ht="24.6" customHeight="1">
      <c r="A182" s="1223"/>
      <c r="B182" s="594"/>
      <c r="C182" s="594"/>
      <c r="D182" s="594"/>
      <c r="E182" s="594"/>
      <c r="F182" s="594"/>
      <c r="G182" s="594"/>
      <c r="H182" s="594"/>
      <c r="I182" s="594"/>
      <c r="J182" s="1223"/>
      <c r="K182" s="1241"/>
      <c r="L182" s="1223"/>
      <c r="M182" s="1223"/>
      <c r="N182" s="1206" t="s">
        <v>1637</v>
      </c>
      <c r="O182" s="1206"/>
      <c r="P182" s="587">
        <v>120000</v>
      </c>
      <c r="Q182" s="587">
        <v>120000</v>
      </c>
      <c r="R182" s="587">
        <f t="shared" si="6"/>
        <v>0</v>
      </c>
      <c r="S182" s="1243"/>
      <c r="T182" s="585"/>
      <c r="U182" s="585"/>
      <c r="V182" s="585"/>
    </row>
    <row r="183" spans="1:22" ht="24.6" customHeight="1">
      <c r="A183" s="1223"/>
      <c r="B183" s="594"/>
      <c r="C183" s="594"/>
      <c r="D183" s="594"/>
      <c r="E183" s="594"/>
      <c r="F183" s="594"/>
      <c r="G183" s="594"/>
      <c r="H183" s="594"/>
      <c r="I183" s="594"/>
      <c r="J183" s="1223"/>
      <c r="K183" s="1241"/>
      <c r="L183" s="1223"/>
      <c r="M183" s="1223"/>
      <c r="N183" s="1206" t="s">
        <v>1638</v>
      </c>
      <c r="O183" s="1206"/>
      <c r="P183" s="587">
        <v>200000</v>
      </c>
      <c r="Q183" s="587">
        <v>200000</v>
      </c>
      <c r="R183" s="587">
        <f t="shared" si="6"/>
        <v>0</v>
      </c>
      <c r="S183" s="1243"/>
      <c r="T183" s="585"/>
      <c r="U183" s="585"/>
      <c r="V183" s="585"/>
    </row>
    <row r="184" spans="1:22" ht="24.6" customHeight="1">
      <c r="A184" s="1223"/>
      <c r="B184" s="594"/>
      <c r="C184" s="594"/>
      <c r="D184" s="594"/>
      <c r="E184" s="594"/>
      <c r="F184" s="594"/>
      <c r="G184" s="594"/>
      <c r="H184" s="594"/>
      <c r="I184" s="594"/>
      <c r="J184" s="1223"/>
      <c r="K184" s="1241"/>
      <c r="L184" s="1223"/>
      <c r="M184" s="1223"/>
      <c r="N184" s="1206" t="s">
        <v>1639</v>
      </c>
      <c r="O184" s="1206"/>
      <c r="P184" s="587">
        <v>130000</v>
      </c>
      <c r="Q184" s="587">
        <v>130000</v>
      </c>
      <c r="R184" s="587">
        <f t="shared" si="6"/>
        <v>0</v>
      </c>
      <c r="S184" s="1243"/>
      <c r="T184" s="585"/>
      <c r="U184" s="585"/>
      <c r="V184" s="585"/>
    </row>
    <row r="185" spans="1:22" ht="24.6" customHeight="1">
      <c r="A185" s="1223"/>
      <c r="B185" s="594"/>
      <c r="C185" s="594"/>
      <c r="D185" s="594"/>
      <c r="E185" s="594"/>
      <c r="F185" s="594"/>
      <c r="G185" s="594"/>
      <c r="H185" s="594"/>
      <c r="I185" s="594"/>
      <c r="J185" s="1223"/>
      <c r="K185" s="1241"/>
      <c r="L185" s="1223"/>
      <c r="M185" s="1223"/>
      <c r="N185" s="1206" t="s">
        <v>1640</v>
      </c>
      <c r="O185" s="1206"/>
      <c r="P185" s="587">
        <v>630000</v>
      </c>
      <c r="Q185" s="587">
        <v>630000</v>
      </c>
      <c r="R185" s="587">
        <f t="shared" si="6"/>
        <v>0</v>
      </c>
      <c r="S185" s="1243"/>
      <c r="T185" s="585"/>
      <c r="U185" s="585"/>
      <c r="V185" s="585"/>
    </row>
    <row r="186" spans="1:22" ht="24.6" customHeight="1">
      <c r="A186" s="1223"/>
      <c r="B186" s="594"/>
      <c r="C186" s="594"/>
      <c r="D186" s="594"/>
      <c r="E186" s="594"/>
      <c r="F186" s="594"/>
      <c r="G186" s="594"/>
      <c r="H186" s="594"/>
      <c r="I186" s="594"/>
      <c r="J186" s="1223"/>
      <c r="K186" s="1241"/>
      <c r="L186" s="1223"/>
      <c r="M186" s="1223"/>
      <c r="N186" s="1206" t="s">
        <v>1642</v>
      </c>
      <c r="O186" s="1206"/>
      <c r="P186" s="587">
        <v>280000</v>
      </c>
      <c r="Q186" s="587">
        <v>280000</v>
      </c>
      <c r="R186" s="587">
        <f t="shared" si="6"/>
        <v>0</v>
      </c>
      <c r="S186" s="1243"/>
      <c r="T186" s="585"/>
      <c r="U186" s="585"/>
      <c r="V186" s="585"/>
    </row>
    <row r="187" spans="1:22" ht="24.6" customHeight="1">
      <c r="A187" s="1223"/>
      <c r="B187" s="594"/>
      <c r="C187" s="594"/>
      <c r="D187" s="594"/>
      <c r="E187" s="594"/>
      <c r="F187" s="594"/>
      <c r="G187" s="594"/>
      <c r="H187" s="594"/>
      <c r="I187" s="594"/>
      <c r="J187" s="1223"/>
      <c r="K187" s="1241"/>
      <c r="L187" s="1223"/>
      <c r="M187" s="1223"/>
      <c r="N187" s="1206" t="s">
        <v>1643</v>
      </c>
      <c r="O187" s="1206"/>
      <c r="P187" s="587">
        <v>900000</v>
      </c>
      <c r="Q187" s="587">
        <v>900000</v>
      </c>
      <c r="R187" s="587">
        <f t="shared" si="6"/>
        <v>0</v>
      </c>
      <c r="S187" s="1243"/>
      <c r="T187" s="585"/>
      <c r="U187" s="585"/>
      <c r="V187" s="585"/>
    </row>
    <row r="188" spans="1:22" ht="24.6" customHeight="1">
      <c r="A188" s="1223"/>
      <c r="B188" s="594"/>
      <c r="C188" s="594"/>
      <c r="D188" s="594"/>
      <c r="E188" s="594"/>
      <c r="F188" s="594"/>
      <c r="G188" s="594"/>
      <c r="H188" s="594"/>
      <c r="I188" s="594"/>
      <c r="J188" s="1223"/>
      <c r="K188" s="1241"/>
      <c r="L188" s="1223"/>
      <c r="M188" s="1223"/>
      <c r="N188" s="1206" t="s">
        <v>1644</v>
      </c>
      <c r="O188" s="1206"/>
      <c r="P188" s="587">
        <v>230000</v>
      </c>
      <c r="Q188" s="587">
        <v>230000</v>
      </c>
      <c r="R188" s="587">
        <f t="shared" si="6"/>
        <v>0</v>
      </c>
      <c r="S188" s="1243"/>
      <c r="T188" s="585"/>
      <c r="U188" s="585"/>
      <c r="V188" s="585"/>
    </row>
    <row r="189" spans="1:22" ht="24.6" customHeight="1">
      <c r="A189" s="1223"/>
      <c r="B189" s="594"/>
      <c r="C189" s="594"/>
      <c r="D189" s="594"/>
      <c r="E189" s="594"/>
      <c r="F189" s="594"/>
      <c r="G189" s="594"/>
      <c r="H189" s="594"/>
      <c r="I189" s="594"/>
      <c r="J189" s="1223"/>
      <c r="K189" s="1241"/>
      <c r="L189" s="1223"/>
      <c r="M189" s="1223"/>
      <c r="N189" s="1206" t="s">
        <v>1645</v>
      </c>
      <c r="O189" s="1206"/>
      <c r="P189" s="587">
        <v>430000</v>
      </c>
      <c r="Q189" s="587">
        <v>430000</v>
      </c>
      <c r="R189" s="587">
        <f t="shared" si="6"/>
        <v>0</v>
      </c>
      <c r="S189" s="1243"/>
      <c r="T189" s="585"/>
      <c r="U189" s="585"/>
      <c r="V189" s="585"/>
    </row>
    <row r="190" spans="1:22" ht="24.6" customHeight="1">
      <c r="A190" s="1223"/>
      <c r="B190" s="594"/>
      <c r="C190" s="594"/>
      <c r="D190" s="594"/>
      <c r="E190" s="594"/>
      <c r="F190" s="594"/>
      <c r="G190" s="594"/>
      <c r="H190" s="594"/>
      <c r="I190" s="594"/>
      <c r="J190" s="1223"/>
      <c r="K190" s="1241"/>
      <c r="L190" s="1223"/>
      <c r="M190" s="1223"/>
      <c r="N190" s="1206" t="s">
        <v>3676</v>
      </c>
      <c r="O190" s="1206"/>
      <c r="P190" s="587">
        <v>210000</v>
      </c>
      <c r="Q190" s="587">
        <v>210000</v>
      </c>
      <c r="R190" s="587">
        <f t="shared" si="6"/>
        <v>0</v>
      </c>
      <c r="S190" s="1243"/>
      <c r="T190" s="585"/>
      <c r="U190" s="585"/>
      <c r="V190" s="585"/>
    </row>
    <row r="191" spans="1:22" ht="24.6" customHeight="1">
      <c r="A191" s="1223"/>
      <c r="B191" s="594"/>
      <c r="C191" s="594"/>
      <c r="D191" s="594"/>
      <c r="E191" s="594"/>
      <c r="F191" s="594"/>
      <c r="G191" s="594"/>
      <c r="H191" s="594"/>
      <c r="I191" s="594"/>
      <c r="J191" s="1223"/>
      <c r="K191" s="1241"/>
      <c r="L191" s="1223"/>
      <c r="M191" s="1223"/>
      <c r="N191" s="1206" t="s">
        <v>1647</v>
      </c>
      <c r="O191" s="1206"/>
      <c r="P191" s="587">
        <v>150000</v>
      </c>
      <c r="Q191" s="587">
        <v>150000</v>
      </c>
      <c r="R191" s="587">
        <f t="shared" si="6"/>
        <v>0</v>
      </c>
      <c r="S191" s="1243"/>
      <c r="T191" s="585"/>
      <c r="U191" s="585"/>
      <c r="V191" s="585"/>
    </row>
    <row r="192" spans="1:22" ht="24.6" customHeight="1">
      <c r="A192" s="1223"/>
      <c r="B192" s="594"/>
      <c r="C192" s="594"/>
      <c r="D192" s="594"/>
      <c r="E192" s="594"/>
      <c r="F192" s="594"/>
      <c r="G192" s="594"/>
      <c r="H192" s="594"/>
      <c r="I192" s="594"/>
      <c r="J192" s="1223"/>
      <c r="K192" s="1242"/>
      <c r="L192" s="1223"/>
      <c r="M192" s="1223"/>
      <c r="N192" s="1206" t="s">
        <v>3667</v>
      </c>
      <c r="O192" s="1206"/>
      <c r="P192" s="587">
        <v>530000</v>
      </c>
      <c r="Q192" s="587">
        <v>530000</v>
      </c>
      <c r="R192" s="587">
        <f t="shared" si="6"/>
        <v>0</v>
      </c>
      <c r="S192" s="1243"/>
      <c r="T192" s="585"/>
      <c r="U192" s="585"/>
      <c r="V192" s="585"/>
    </row>
    <row r="193" spans="1:22" ht="24.6" customHeight="1">
      <c r="A193" s="1240" t="s">
        <v>1518</v>
      </c>
      <c r="B193" s="594"/>
      <c r="C193" s="594"/>
      <c r="D193" s="594"/>
      <c r="E193" s="594"/>
      <c r="F193" s="594"/>
      <c r="G193" s="594"/>
      <c r="H193" s="594"/>
      <c r="I193" s="594"/>
      <c r="J193" s="1206" t="s">
        <v>3582</v>
      </c>
      <c r="K193" s="1206" t="s">
        <v>1321</v>
      </c>
      <c r="L193" s="1206" t="s">
        <v>1326</v>
      </c>
      <c r="M193" s="1237" t="s">
        <v>3666</v>
      </c>
      <c r="N193" s="1206" t="s">
        <v>1654</v>
      </c>
      <c r="O193" s="1206"/>
      <c r="P193" s="587">
        <v>220000</v>
      </c>
      <c r="Q193" s="587">
        <v>220000</v>
      </c>
      <c r="R193" s="587">
        <f t="shared" si="6"/>
        <v>0</v>
      </c>
      <c r="S193" s="1239" t="s">
        <v>3672</v>
      </c>
      <c r="T193" s="585"/>
      <c r="U193" s="585"/>
      <c r="V193" s="585"/>
    </row>
    <row r="194" spans="1:22" ht="24.6" customHeight="1">
      <c r="A194" s="1223"/>
      <c r="B194" s="594"/>
      <c r="C194" s="594"/>
      <c r="D194" s="594"/>
      <c r="E194" s="594"/>
      <c r="F194" s="594"/>
      <c r="G194" s="594"/>
      <c r="H194" s="594"/>
      <c r="I194" s="594"/>
      <c r="J194" s="1223"/>
      <c r="K194" s="1223"/>
      <c r="L194" s="1223"/>
      <c r="M194" s="1237"/>
      <c r="N194" s="1206" t="s">
        <v>1655</v>
      </c>
      <c r="O194" s="1206"/>
      <c r="P194" s="587">
        <v>130000</v>
      </c>
      <c r="Q194" s="587">
        <v>130000</v>
      </c>
      <c r="R194" s="587">
        <f t="shared" si="6"/>
        <v>0</v>
      </c>
      <c r="S194" s="1243"/>
      <c r="T194" s="585"/>
      <c r="U194" s="585"/>
      <c r="V194" s="585"/>
    </row>
    <row r="195" spans="1:22" ht="24.6" customHeight="1">
      <c r="A195" s="1223"/>
      <c r="B195" s="594"/>
      <c r="C195" s="594"/>
      <c r="D195" s="594"/>
      <c r="E195" s="594"/>
      <c r="F195" s="594"/>
      <c r="G195" s="594"/>
      <c r="H195" s="594"/>
      <c r="I195" s="594"/>
      <c r="J195" s="1223"/>
      <c r="K195" s="1223"/>
      <c r="L195" s="1223"/>
      <c r="M195" s="1237"/>
      <c r="N195" s="1206" t="s">
        <v>1656</v>
      </c>
      <c r="O195" s="1206"/>
      <c r="P195" s="587">
        <f>110000+300000</f>
        <v>410000</v>
      </c>
      <c r="Q195" s="587">
        <v>410000</v>
      </c>
      <c r="R195" s="587">
        <f t="shared" si="6"/>
        <v>0</v>
      </c>
      <c r="S195" s="595" t="s">
        <v>3677</v>
      </c>
      <c r="T195" s="585"/>
      <c r="U195" s="585"/>
      <c r="V195" s="585"/>
    </row>
    <row r="196" spans="1:22" ht="24.6" customHeight="1">
      <c r="A196" s="1223"/>
      <c r="B196" s="594"/>
      <c r="C196" s="594"/>
      <c r="D196" s="594"/>
      <c r="E196" s="594"/>
      <c r="F196" s="594"/>
      <c r="G196" s="594"/>
      <c r="H196" s="594"/>
      <c r="I196" s="594"/>
      <c r="J196" s="1223"/>
      <c r="K196" s="1223"/>
      <c r="L196" s="1223"/>
      <c r="M196" s="1237"/>
      <c r="N196" s="1206" t="s">
        <v>1657</v>
      </c>
      <c r="O196" s="1206"/>
      <c r="P196" s="587">
        <f>60000+200000-7640</f>
        <v>252360</v>
      </c>
      <c r="Q196" s="587">
        <v>252360</v>
      </c>
      <c r="R196" s="587">
        <f t="shared" si="6"/>
        <v>0</v>
      </c>
      <c r="S196" s="595" t="s">
        <v>3678</v>
      </c>
      <c r="T196" s="585"/>
      <c r="U196" s="585"/>
      <c r="V196" s="585"/>
    </row>
    <row r="197" spans="1:22" ht="24.6" customHeight="1">
      <c r="A197" s="1223"/>
      <c r="B197" s="594"/>
      <c r="C197" s="594"/>
      <c r="D197" s="594"/>
      <c r="E197" s="594"/>
      <c r="F197" s="594"/>
      <c r="G197" s="594"/>
      <c r="H197" s="594"/>
      <c r="I197" s="594"/>
      <c r="J197" s="1223"/>
      <c r="K197" s="1223"/>
      <c r="L197" s="1223"/>
      <c r="M197" s="1237"/>
      <c r="N197" s="1206" t="s">
        <v>1658</v>
      </c>
      <c r="O197" s="1206"/>
      <c r="P197" s="587">
        <v>150000</v>
      </c>
      <c r="Q197" s="587">
        <v>150000</v>
      </c>
      <c r="R197" s="587">
        <f t="shared" si="6"/>
        <v>0</v>
      </c>
      <c r="S197" s="1239" t="s">
        <v>3672</v>
      </c>
      <c r="T197" s="585"/>
      <c r="U197" s="585"/>
      <c r="V197" s="585"/>
    </row>
    <row r="198" spans="1:22" ht="24.6" customHeight="1">
      <c r="A198" s="1223"/>
      <c r="B198" s="594"/>
      <c r="C198" s="594"/>
      <c r="D198" s="594"/>
      <c r="E198" s="594"/>
      <c r="F198" s="594"/>
      <c r="G198" s="594"/>
      <c r="H198" s="594"/>
      <c r="I198" s="594"/>
      <c r="J198" s="1223"/>
      <c r="K198" s="1223"/>
      <c r="L198" s="1223"/>
      <c r="M198" s="1237"/>
      <c r="N198" s="1206" t="s">
        <v>1659</v>
      </c>
      <c r="O198" s="1206"/>
      <c r="P198" s="587">
        <v>150000</v>
      </c>
      <c r="Q198" s="587">
        <v>150000</v>
      </c>
      <c r="R198" s="587">
        <f t="shared" si="6"/>
        <v>0</v>
      </c>
      <c r="S198" s="1239"/>
      <c r="T198" s="585"/>
      <c r="U198" s="585"/>
      <c r="V198" s="585"/>
    </row>
    <row r="199" spans="1:22" ht="24.6" customHeight="1">
      <c r="A199" s="1223"/>
      <c r="B199" s="594"/>
      <c r="C199" s="594"/>
      <c r="D199" s="594"/>
      <c r="E199" s="594"/>
      <c r="F199" s="594"/>
      <c r="G199" s="594"/>
      <c r="H199" s="594"/>
      <c r="I199" s="594"/>
      <c r="J199" s="1223"/>
      <c r="K199" s="1223"/>
      <c r="L199" s="1223"/>
      <c r="M199" s="1206" t="s">
        <v>3668</v>
      </c>
      <c r="N199" s="1206" t="s">
        <v>1662</v>
      </c>
      <c r="O199" s="1207"/>
      <c r="P199" s="587">
        <v>40000</v>
      </c>
      <c r="Q199" s="587">
        <v>40000</v>
      </c>
      <c r="R199" s="587">
        <f t="shared" si="6"/>
        <v>0</v>
      </c>
      <c r="S199" s="1239"/>
      <c r="T199" s="585"/>
      <c r="U199" s="585"/>
      <c r="V199" s="585"/>
    </row>
    <row r="200" spans="1:22" ht="24.6" customHeight="1">
      <c r="A200" s="1223"/>
      <c r="B200" s="594"/>
      <c r="C200" s="594"/>
      <c r="D200" s="594"/>
      <c r="E200" s="594"/>
      <c r="F200" s="594"/>
      <c r="G200" s="594"/>
      <c r="H200" s="594"/>
      <c r="I200" s="594"/>
      <c r="J200" s="1223"/>
      <c r="K200" s="1223"/>
      <c r="L200" s="1223"/>
      <c r="M200" s="1206"/>
      <c r="N200" s="1206" t="s">
        <v>1663</v>
      </c>
      <c r="O200" s="1207"/>
      <c r="P200" s="587">
        <v>110000</v>
      </c>
      <c r="Q200" s="587">
        <v>110000</v>
      </c>
      <c r="R200" s="587">
        <f t="shared" si="6"/>
        <v>0</v>
      </c>
      <c r="S200" s="1239"/>
      <c r="T200" s="585"/>
      <c r="U200" s="585"/>
      <c r="V200" s="585"/>
    </row>
    <row r="201" spans="1:22" ht="24.6" customHeight="1">
      <c r="A201" s="1223"/>
      <c r="B201" s="594"/>
      <c r="C201" s="594"/>
      <c r="D201" s="594"/>
      <c r="E201" s="594"/>
      <c r="F201" s="594"/>
      <c r="G201" s="594"/>
      <c r="H201" s="594"/>
      <c r="I201" s="594"/>
      <c r="J201" s="1223"/>
      <c r="K201" s="1223"/>
      <c r="L201" s="1223"/>
      <c r="M201" s="1207"/>
      <c r="N201" s="1206" t="s">
        <v>1664</v>
      </c>
      <c r="O201" s="1206"/>
      <c r="P201" s="587">
        <v>100000</v>
      </c>
      <c r="Q201" s="587">
        <v>100000</v>
      </c>
      <c r="R201" s="587">
        <f t="shared" si="6"/>
        <v>0</v>
      </c>
      <c r="S201" s="1239"/>
      <c r="T201" s="585"/>
      <c r="U201" s="585"/>
      <c r="V201" s="585"/>
    </row>
    <row r="202" spans="1:22" ht="24.6" customHeight="1">
      <c r="A202" s="1223"/>
      <c r="B202" s="594"/>
      <c r="C202" s="594"/>
      <c r="D202" s="594"/>
      <c r="E202" s="594"/>
      <c r="F202" s="594"/>
      <c r="G202" s="594"/>
      <c r="H202" s="594"/>
      <c r="I202" s="594"/>
      <c r="J202" s="1223"/>
      <c r="K202" s="1223"/>
      <c r="L202" s="1223"/>
      <c r="M202" s="1207"/>
      <c r="N202" s="1206" t="s">
        <v>1665</v>
      </c>
      <c r="O202" s="1206"/>
      <c r="P202" s="587">
        <v>190000</v>
      </c>
      <c r="Q202" s="587">
        <v>190000</v>
      </c>
      <c r="R202" s="587">
        <f t="shared" si="6"/>
        <v>0</v>
      </c>
      <c r="S202" s="1239"/>
      <c r="T202" s="585"/>
      <c r="U202" s="585"/>
      <c r="V202" s="585"/>
    </row>
    <row r="203" spans="1:22" ht="24.6" customHeight="1">
      <c r="A203" s="1223"/>
      <c r="B203" s="594"/>
      <c r="C203" s="594"/>
      <c r="D203" s="594"/>
      <c r="E203" s="594"/>
      <c r="F203" s="594"/>
      <c r="G203" s="594"/>
      <c r="H203" s="594"/>
      <c r="I203" s="594"/>
      <c r="J203" s="1223"/>
      <c r="K203" s="1223"/>
      <c r="L203" s="1223"/>
      <c r="M203" s="1207"/>
      <c r="N203" s="1206" t="s">
        <v>1666</v>
      </c>
      <c r="O203" s="1206"/>
      <c r="P203" s="587">
        <v>210000</v>
      </c>
      <c r="Q203" s="587">
        <v>210000</v>
      </c>
      <c r="R203" s="587">
        <f t="shared" si="6"/>
        <v>0</v>
      </c>
      <c r="S203" s="1239"/>
      <c r="T203" s="585"/>
      <c r="U203" s="585"/>
      <c r="V203" s="585"/>
    </row>
    <row r="204" spans="1:22" ht="24.6" customHeight="1">
      <c r="A204" s="1223"/>
      <c r="B204" s="594"/>
      <c r="C204" s="594"/>
      <c r="D204" s="594"/>
      <c r="E204" s="594"/>
      <c r="F204" s="594"/>
      <c r="G204" s="594"/>
      <c r="H204" s="594"/>
      <c r="I204" s="594"/>
      <c r="J204" s="1223"/>
      <c r="K204" s="1223"/>
      <c r="L204" s="1223"/>
      <c r="M204" s="1207"/>
      <c r="N204" s="1206" t="s">
        <v>1667</v>
      </c>
      <c r="O204" s="1206"/>
      <c r="P204" s="587">
        <f>110000+270000</f>
        <v>380000</v>
      </c>
      <c r="Q204" s="587">
        <v>380000</v>
      </c>
      <c r="R204" s="587">
        <f t="shared" si="6"/>
        <v>0</v>
      </c>
      <c r="S204" s="595" t="s">
        <v>3677</v>
      </c>
      <c r="T204" s="585"/>
      <c r="U204" s="585"/>
      <c r="V204" s="585"/>
    </row>
    <row r="205" spans="1:22" ht="24.6" customHeight="1">
      <c r="A205" s="1223"/>
      <c r="B205" s="594"/>
      <c r="C205" s="594"/>
      <c r="D205" s="594"/>
      <c r="E205" s="594"/>
      <c r="F205" s="594"/>
      <c r="G205" s="594"/>
      <c r="H205" s="594"/>
      <c r="I205" s="594"/>
      <c r="J205" s="1223"/>
      <c r="K205" s="1223"/>
      <c r="L205" s="1223"/>
      <c r="M205" s="1207"/>
      <c r="N205" s="1206" t="s">
        <v>1668</v>
      </c>
      <c r="O205" s="1206"/>
      <c r="P205" s="587">
        <v>50000</v>
      </c>
      <c r="Q205" s="587">
        <v>50000</v>
      </c>
      <c r="R205" s="587">
        <f t="shared" si="6"/>
        <v>0</v>
      </c>
      <c r="S205" s="1239" t="s">
        <v>3672</v>
      </c>
      <c r="T205" s="585"/>
      <c r="U205" s="585"/>
      <c r="V205" s="585"/>
    </row>
    <row r="206" spans="1:22" ht="24.6" customHeight="1">
      <c r="A206" s="1223"/>
      <c r="B206" s="594"/>
      <c r="C206" s="594"/>
      <c r="D206" s="594"/>
      <c r="E206" s="594"/>
      <c r="F206" s="594"/>
      <c r="G206" s="594"/>
      <c r="H206" s="594"/>
      <c r="I206" s="594"/>
      <c r="J206" s="1223"/>
      <c r="K206" s="1223"/>
      <c r="L206" s="1223"/>
      <c r="M206" s="1207"/>
      <c r="N206" s="1206" t="s">
        <v>1669</v>
      </c>
      <c r="O206" s="1206"/>
      <c r="P206" s="587">
        <v>30000</v>
      </c>
      <c r="Q206" s="587">
        <v>30000</v>
      </c>
      <c r="R206" s="587">
        <f t="shared" si="6"/>
        <v>0</v>
      </c>
      <c r="S206" s="1243"/>
      <c r="T206" s="585"/>
      <c r="U206" s="585"/>
      <c r="V206" s="585"/>
    </row>
    <row r="207" spans="1:22" ht="24.6" customHeight="1">
      <c r="A207" s="1223"/>
      <c r="B207" s="594"/>
      <c r="C207" s="594"/>
      <c r="D207" s="594"/>
      <c r="E207" s="594"/>
      <c r="F207" s="594"/>
      <c r="G207" s="594"/>
      <c r="H207" s="594"/>
      <c r="I207" s="594"/>
      <c r="J207" s="1223"/>
      <c r="K207" s="1223"/>
      <c r="L207" s="1223"/>
      <c r="M207" s="1206" t="s">
        <v>3669</v>
      </c>
      <c r="N207" s="1206" t="s">
        <v>1672</v>
      </c>
      <c r="O207" s="1206"/>
      <c r="P207" s="587">
        <v>20000</v>
      </c>
      <c r="Q207" s="587">
        <v>20000</v>
      </c>
      <c r="R207" s="587">
        <f t="shared" si="6"/>
        <v>0</v>
      </c>
      <c r="S207" s="1243"/>
      <c r="T207" s="585"/>
      <c r="U207" s="585"/>
      <c r="V207" s="585"/>
    </row>
    <row r="208" spans="1:22" ht="24.6" customHeight="1">
      <c r="A208" s="1223"/>
      <c r="B208" s="594"/>
      <c r="C208" s="594"/>
      <c r="D208" s="594"/>
      <c r="E208" s="594"/>
      <c r="F208" s="594"/>
      <c r="G208" s="594"/>
      <c r="H208" s="594"/>
      <c r="I208" s="594"/>
      <c r="J208" s="1223"/>
      <c r="K208" s="1223"/>
      <c r="L208" s="1223"/>
      <c r="M208" s="1206"/>
      <c r="N208" s="1206" t="s">
        <v>1673</v>
      </c>
      <c r="O208" s="1206"/>
      <c r="P208" s="587">
        <v>290000</v>
      </c>
      <c r="Q208" s="587">
        <v>290000</v>
      </c>
      <c r="R208" s="587">
        <f t="shared" si="6"/>
        <v>0</v>
      </c>
      <c r="S208" s="1243"/>
      <c r="T208" s="585"/>
      <c r="U208" s="585"/>
      <c r="V208" s="585"/>
    </row>
    <row r="209" spans="1:22" ht="24.6" customHeight="1">
      <c r="A209" s="1223"/>
      <c r="B209" s="594"/>
      <c r="C209" s="594"/>
      <c r="D209" s="594"/>
      <c r="E209" s="594"/>
      <c r="F209" s="594"/>
      <c r="G209" s="594"/>
      <c r="H209" s="594"/>
      <c r="I209" s="594"/>
      <c r="J209" s="1223"/>
      <c r="K209" s="1223"/>
      <c r="L209" s="1223"/>
      <c r="M209" s="1206"/>
      <c r="N209" s="1206" t="s">
        <v>1674</v>
      </c>
      <c r="O209" s="1206"/>
      <c r="P209" s="587">
        <v>150000</v>
      </c>
      <c r="Q209" s="587">
        <v>150000</v>
      </c>
      <c r="R209" s="587">
        <f t="shared" si="6"/>
        <v>0</v>
      </c>
      <c r="S209" s="1243"/>
      <c r="T209" s="585"/>
      <c r="U209" s="585"/>
      <c r="V209" s="585"/>
    </row>
    <row r="210" spans="1:22" ht="24.6" customHeight="1">
      <c r="A210" s="1223"/>
      <c r="B210" s="594"/>
      <c r="C210" s="594"/>
      <c r="D210" s="594"/>
      <c r="E210" s="594"/>
      <c r="F210" s="594"/>
      <c r="G210" s="594"/>
      <c r="H210" s="594"/>
      <c r="I210" s="594"/>
      <c r="J210" s="1223"/>
      <c r="K210" s="1223"/>
      <c r="L210" s="1223"/>
      <c r="M210" s="1206"/>
      <c r="N210" s="1206" t="s">
        <v>1675</v>
      </c>
      <c r="O210" s="1206"/>
      <c r="P210" s="587">
        <f>330000+342000</f>
        <v>672000</v>
      </c>
      <c r="Q210" s="587">
        <v>672000</v>
      </c>
      <c r="R210" s="587">
        <f t="shared" si="6"/>
        <v>0</v>
      </c>
      <c r="S210" s="595" t="s">
        <v>3677</v>
      </c>
      <c r="T210" s="585"/>
      <c r="U210" s="585"/>
      <c r="V210" s="585"/>
    </row>
    <row r="211" spans="1:22" ht="24.6" customHeight="1">
      <c r="A211" s="1223"/>
      <c r="B211" s="594"/>
      <c r="C211" s="594"/>
      <c r="D211" s="594"/>
      <c r="E211" s="594"/>
      <c r="F211" s="594"/>
      <c r="G211" s="594"/>
      <c r="H211" s="594"/>
      <c r="I211" s="594"/>
      <c r="J211" s="1223"/>
      <c r="K211" s="1223"/>
      <c r="L211" s="1223"/>
      <c r="M211" s="1206"/>
      <c r="N211" s="1206" t="s">
        <v>1677</v>
      </c>
      <c r="O211" s="1206"/>
      <c r="P211" s="587">
        <v>70000</v>
      </c>
      <c r="Q211" s="587">
        <v>70000</v>
      </c>
      <c r="R211" s="587">
        <f t="shared" si="6"/>
        <v>0</v>
      </c>
      <c r="S211" s="1239" t="s">
        <v>3672</v>
      </c>
      <c r="T211" s="585"/>
      <c r="U211" s="585"/>
      <c r="V211" s="585"/>
    </row>
    <row r="212" spans="1:22" ht="24.6" customHeight="1">
      <c r="A212" s="1223"/>
      <c r="B212" s="594"/>
      <c r="C212" s="594"/>
      <c r="D212" s="594"/>
      <c r="E212" s="594"/>
      <c r="F212" s="594"/>
      <c r="G212" s="594"/>
      <c r="H212" s="594"/>
      <c r="I212" s="594"/>
      <c r="J212" s="1223"/>
      <c r="K212" s="1223"/>
      <c r="L212" s="1223"/>
      <c r="M212" s="1200" t="s">
        <v>3670</v>
      </c>
      <c r="N212" s="1206" t="s">
        <v>1680</v>
      </c>
      <c r="O212" s="1206"/>
      <c r="P212" s="587">
        <v>180000</v>
      </c>
      <c r="Q212" s="587">
        <v>180000</v>
      </c>
      <c r="R212" s="587">
        <f t="shared" si="6"/>
        <v>0</v>
      </c>
      <c r="S212" s="1243"/>
      <c r="T212" s="585"/>
      <c r="U212" s="585"/>
      <c r="V212" s="585"/>
    </row>
    <row r="213" spans="1:22" ht="24.6" customHeight="1">
      <c r="A213" s="1223"/>
      <c r="B213" s="594"/>
      <c r="C213" s="594"/>
      <c r="D213" s="594"/>
      <c r="E213" s="594"/>
      <c r="F213" s="594"/>
      <c r="G213" s="594"/>
      <c r="H213" s="594"/>
      <c r="I213" s="594"/>
      <c r="J213" s="1223"/>
      <c r="K213" s="1223"/>
      <c r="L213" s="1223"/>
      <c r="M213" s="1206"/>
      <c r="N213" s="1206" t="s">
        <v>1681</v>
      </c>
      <c r="O213" s="1206"/>
      <c r="P213" s="587">
        <v>130000</v>
      </c>
      <c r="Q213" s="587">
        <v>130000</v>
      </c>
      <c r="R213" s="587">
        <f t="shared" si="6"/>
        <v>0</v>
      </c>
      <c r="S213" s="1243"/>
      <c r="T213" s="585"/>
      <c r="U213" s="585"/>
      <c r="V213" s="585"/>
    </row>
    <row r="214" spans="1:22" ht="24.6" customHeight="1">
      <c r="A214" s="1223"/>
      <c r="B214" s="594"/>
      <c r="C214" s="594"/>
      <c r="D214" s="594"/>
      <c r="E214" s="594"/>
      <c r="F214" s="594"/>
      <c r="G214" s="594"/>
      <c r="H214" s="594"/>
      <c r="I214" s="594"/>
      <c r="J214" s="1223"/>
      <c r="K214" s="1223"/>
      <c r="L214" s="1223"/>
      <c r="M214" s="1206"/>
      <c r="N214" s="1206" t="s">
        <v>1682</v>
      </c>
      <c r="O214" s="1206"/>
      <c r="P214" s="587">
        <v>30000</v>
      </c>
      <c r="Q214" s="587">
        <v>30000</v>
      </c>
      <c r="R214" s="587">
        <f t="shared" si="6"/>
        <v>0</v>
      </c>
      <c r="S214" s="1243"/>
      <c r="T214" s="585"/>
      <c r="U214" s="585"/>
      <c r="V214" s="585"/>
    </row>
    <row r="215" spans="1:22" ht="24.6" customHeight="1">
      <c r="A215" s="1223"/>
      <c r="B215" s="594"/>
      <c r="C215" s="594"/>
      <c r="D215" s="594"/>
      <c r="E215" s="594"/>
      <c r="F215" s="594"/>
      <c r="G215" s="594"/>
      <c r="H215" s="594"/>
      <c r="I215" s="594"/>
      <c r="J215" s="1223"/>
      <c r="K215" s="1223"/>
      <c r="L215" s="1223"/>
      <c r="M215" s="1206"/>
      <c r="N215" s="1206" t="s">
        <v>1683</v>
      </c>
      <c r="O215" s="1206"/>
      <c r="P215" s="587">
        <f>140000+70000</f>
        <v>210000</v>
      </c>
      <c r="Q215" s="587">
        <v>210000</v>
      </c>
      <c r="R215" s="587">
        <f t="shared" si="6"/>
        <v>0</v>
      </c>
      <c r="S215" s="595" t="s">
        <v>3677</v>
      </c>
      <c r="T215" s="585"/>
      <c r="U215" s="585"/>
      <c r="V215" s="585"/>
    </row>
    <row r="216" spans="1:22" ht="24.6" customHeight="1">
      <c r="A216" s="1223"/>
      <c r="B216" s="594"/>
      <c r="C216" s="594"/>
      <c r="D216" s="594"/>
      <c r="E216" s="594"/>
      <c r="F216" s="594"/>
      <c r="G216" s="594"/>
      <c r="H216" s="594"/>
      <c r="I216" s="594"/>
      <c r="J216" s="1223"/>
      <c r="K216" s="1223"/>
      <c r="L216" s="1223"/>
      <c r="M216" s="1206"/>
      <c r="N216" s="1206" t="s">
        <v>1684</v>
      </c>
      <c r="O216" s="1206"/>
      <c r="P216" s="587">
        <v>150000</v>
      </c>
      <c r="Q216" s="587">
        <v>150000</v>
      </c>
      <c r="R216" s="587">
        <f t="shared" si="6"/>
        <v>0</v>
      </c>
      <c r="S216" s="1239" t="s">
        <v>3672</v>
      </c>
      <c r="T216" s="585"/>
      <c r="U216" s="585"/>
      <c r="V216" s="585"/>
    </row>
    <row r="217" spans="1:22" ht="24.6" customHeight="1">
      <c r="A217" s="1223"/>
      <c r="B217" s="594"/>
      <c r="C217" s="594"/>
      <c r="D217" s="594"/>
      <c r="E217" s="594"/>
      <c r="F217" s="594"/>
      <c r="G217" s="594"/>
      <c r="H217" s="594"/>
      <c r="I217" s="594"/>
      <c r="J217" s="1223"/>
      <c r="K217" s="1223"/>
      <c r="L217" s="1223"/>
      <c r="M217" s="1206"/>
      <c r="N217" s="1206" t="s">
        <v>1686</v>
      </c>
      <c r="O217" s="1206"/>
      <c r="P217" s="587">
        <v>120000</v>
      </c>
      <c r="Q217" s="587">
        <v>120000</v>
      </c>
      <c r="R217" s="587">
        <f t="shared" si="6"/>
        <v>0</v>
      </c>
      <c r="S217" s="1238"/>
      <c r="T217" s="585"/>
      <c r="U217" s="585"/>
      <c r="V217" s="585"/>
    </row>
    <row r="218" spans="1:22" ht="24.6" customHeight="1">
      <c r="A218" s="1240" t="s">
        <v>1518</v>
      </c>
      <c r="B218" s="594"/>
      <c r="C218" s="594"/>
      <c r="D218" s="594"/>
      <c r="E218" s="594"/>
      <c r="F218" s="594"/>
      <c r="G218" s="594"/>
      <c r="H218" s="594"/>
      <c r="I218" s="594"/>
      <c r="J218" s="1234" t="s">
        <v>3582</v>
      </c>
      <c r="K218" s="1234" t="s">
        <v>1321</v>
      </c>
      <c r="L218" s="1200" t="s">
        <v>1326</v>
      </c>
      <c r="M218" s="1200" t="s">
        <v>3670</v>
      </c>
      <c r="N218" s="1206" t="s">
        <v>1687</v>
      </c>
      <c r="O218" s="1206"/>
      <c r="P218" s="587">
        <v>160000</v>
      </c>
      <c r="Q218" s="587">
        <v>160000</v>
      </c>
      <c r="R218" s="587">
        <f t="shared" si="6"/>
        <v>0</v>
      </c>
      <c r="S218" s="602" t="s">
        <v>3672</v>
      </c>
      <c r="T218" s="585"/>
      <c r="U218" s="585"/>
      <c r="V218" s="585"/>
    </row>
    <row r="219" spans="1:22" ht="24.6" customHeight="1">
      <c r="A219" s="1223"/>
      <c r="B219" s="594"/>
      <c r="C219" s="594"/>
      <c r="D219" s="594"/>
      <c r="E219" s="594"/>
      <c r="F219" s="594"/>
      <c r="G219" s="594"/>
      <c r="H219" s="594"/>
      <c r="I219" s="594"/>
      <c r="J219" s="1234"/>
      <c r="K219" s="1234"/>
      <c r="L219" s="1207"/>
      <c r="M219" s="1207"/>
      <c r="N219" s="1206" t="s">
        <v>1688</v>
      </c>
      <c r="O219" s="1206"/>
      <c r="P219" s="587">
        <f>230000+29000</f>
        <v>259000</v>
      </c>
      <c r="Q219" s="587">
        <v>259000</v>
      </c>
      <c r="R219" s="587">
        <f t="shared" si="6"/>
        <v>0</v>
      </c>
      <c r="S219" s="595" t="s">
        <v>3679</v>
      </c>
      <c r="T219" s="585"/>
      <c r="U219" s="585"/>
      <c r="V219" s="585"/>
    </row>
    <row r="220" spans="1:22" ht="24.6" customHeight="1">
      <c r="A220" s="1223"/>
      <c r="B220" s="594"/>
      <c r="C220" s="594"/>
      <c r="D220" s="594"/>
      <c r="E220" s="594"/>
      <c r="F220" s="594"/>
      <c r="G220" s="594"/>
      <c r="H220" s="594"/>
      <c r="I220" s="594"/>
      <c r="J220" s="1234"/>
      <c r="K220" s="1234"/>
      <c r="L220" s="1207"/>
      <c r="M220" s="1207"/>
      <c r="N220" s="1206" t="s">
        <v>1689</v>
      </c>
      <c r="O220" s="1206"/>
      <c r="P220" s="587">
        <v>180000</v>
      </c>
      <c r="Q220" s="587">
        <v>180000</v>
      </c>
      <c r="R220" s="587">
        <f t="shared" si="6"/>
        <v>0</v>
      </c>
      <c r="S220" s="1239" t="s">
        <v>3672</v>
      </c>
      <c r="T220" s="585"/>
      <c r="U220" s="585"/>
      <c r="V220" s="585"/>
    </row>
    <row r="221" spans="1:22" ht="24.6" customHeight="1">
      <c r="A221" s="1223"/>
      <c r="B221" s="594"/>
      <c r="C221" s="594"/>
      <c r="D221" s="594"/>
      <c r="E221" s="594"/>
      <c r="F221" s="594"/>
      <c r="G221" s="594"/>
      <c r="H221" s="594"/>
      <c r="I221" s="594"/>
      <c r="J221" s="1234"/>
      <c r="K221" s="1234"/>
      <c r="L221" s="1207"/>
      <c r="M221" s="1207"/>
      <c r="N221" s="1206" t="s">
        <v>1692</v>
      </c>
      <c r="O221" s="1206"/>
      <c r="P221" s="587">
        <v>90000</v>
      </c>
      <c r="Q221" s="587">
        <v>90000</v>
      </c>
      <c r="R221" s="587">
        <f t="shared" si="6"/>
        <v>0</v>
      </c>
      <c r="S221" s="1243"/>
      <c r="T221" s="585"/>
      <c r="U221" s="585"/>
      <c r="V221" s="585"/>
    </row>
    <row r="222" spans="1:22" ht="24.6" customHeight="1">
      <c r="A222" s="1223"/>
      <c r="B222" s="594"/>
      <c r="C222" s="594"/>
      <c r="D222" s="594"/>
      <c r="E222" s="594"/>
      <c r="F222" s="594"/>
      <c r="G222" s="594"/>
      <c r="H222" s="594"/>
      <c r="I222" s="594"/>
      <c r="J222" s="1234"/>
      <c r="K222" s="1234"/>
      <c r="L222" s="1207"/>
      <c r="M222" s="1207"/>
      <c r="N222" s="1206" t="s">
        <v>1693</v>
      </c>
      <c r="O222" s="1206"/>
      <c r="P222" s="587">
        <v>30000</v>
      </c>
      <c r="Q222" s="587">
        <v>30000</v>
      </c>
      <c r="R222" s="587">
        <f t="shared" si="6"/>
        <v>0</v>
      </c>
      <c r="S222" s="1243"/>
      <c r="T222" s="585"/>
      <c r="U222" s="585"/>
      <c r="V222" s="585"/>
    </row>
    <row r="223" spans="1:22" ht="24.6" customHeight="1">
      <c r="A223" s="1223"/>
      <c r="B223" s="594"/>
      <c r="C223" s="594"/>
      <c r="D223" s="594"/>
      <c r="E223" s="594"/>
      <c r="F223" s="594"/>
      <c r="G223" s="594"/>
      <c r="H223" s="594"/>
      <c r="I223" s="594"/>
      <c r="J223" s="1234"/>
      <c r="K223" s="1234"/>
      <c r="L223" s="1207"/>
      <c r="M223" s="1207"/>
      <c r="N223" s="1206" t="s">
        <v>1694</v>
      </c>
      <c r="O223" s="1206"/>
      <c r="P223" s="587">
        <v>50000</v>
      </c>
      <c r="Q223" s="587">
        <v>50000</v>
      </c>
      <c r="R223" s="587">
        <f t="shared" si="6"/>
        <v>0</v>
      </c>
      <c r="S223" s="1243"/>
      <c r="T223" s="585"/>
      <c r="U223" s="585"/>
      <c r="V223" s="585"/>
    </row>
    <row r="224" spans="1:22" ht="15" customHeight="1">
      <c r="A224" s="1223"/>
      <c r="B224" s="594"/>
      <c r="C224" s="594"/>
      <c r="D224" s="594"/>
      <c r="E224" s="594"/>
      <c r="F224" s="594"/>
      <c r="G224" s="594"/>
      <c r="H224" s="594"/>
      <c r="I224" s="594"/>
      <c r="J224" s="1234"/>
      <c r="K224" s="1234"/>
      <c r="L224" s="1210" t="s">
        <v>3594</v>
      </c>
      <c r="M224" s="1210"/>
      <c r="N224" s="1210"/>
      <c r="O224" s="1210"/>
      <c r="P224" s="588">
        <f>SUM(P138:P223)</f>
        <v>17773360</v>
      </c>
      <c r="Q224" s="588">
        <f>SUM(Q138:Q223)</f>
        <v>17773360</v>
      </c>
      <c r="R224" s="588">
        <f>SUM(R138:R223)</f>
        <v>0</v>
      </c>
      <c r="S224" s="601"/>
      <c r="T224" s="585"/>
      <c r="U224" s="585"/>
      <c r="V224" s="585"/>
    </row>
    <row r="225" spans="1:22" ht="43.5" customHeight="1">
      <c r="A225" s="1223"/>
      <c r="B225" s="594"/>
      <c r="C225" s="594"/>
      <c r="D225" s="594"/>
      <c r="E225" s="594"/>
      <c r="F225" s="594"/>
      <c r="G225" s="594"/>
      <c r="H225" s="594"/>
      <c r="I225" s="594"/>
      <c r="J225" s="1234"/>
      <c r="K225" s="1206" t="s">
        <v>1301</v>
      </c>
      <c r="L225" s="589" t="s">
        <v>3680</v>
      </c>
      <c r="M225" s="1231" t="s">
        <v>3621</v>
      </c>
      <c r="N225" s="1184"/>
      <c r="O225" s="1184"/>
      <c r="P225" s="587">
        <v>30000</v>
      </c>
      <c r="Q225" s="587">
        <v>30000</v>
      </c>
      <c r="R225" s="587">
        <f t="shared" ref="R225:R248" si="7">P225-Q225</f>
        <v>0</v>
      </c>
      <c r="S225" s="595" t="s">
        <v>3663</v>
      </c>
      <c r="T225" s="585"/>
      <c r="U225" s="585"/>
      <c r="V225" s="585"/>
    </row>
    <row r="226" spans="1:22" ht="15" customHeight="1">
      <c r="A226" s="1223"/>
      <c r="B226" s="594"/>
      <c r="C226" s="594"/>
      <c r="D226" s="594"/>
      <c r="E226" s="594"/>
      <c r="F226" s="594"/>
      <c r="G226" s="594"/>
      <c r="H226" s="594"/>
      <c r="I226" s="594"/>
      <c r="J226" s="1234"/>
      <c r="K226" s="1206"/>
      <c r="L226" s="1210" t="s">
        <v>3671</v>
      </c>
      <c r="M226" s="1233"/>
      <c r="N226" s="1233"/>
      <c r="O226" s="1233"/>
      <c r="P226" s="588">
        <f>P225</f>
        <v>30000</v>
      </c>
      <c r="Q226" s="588">
        <f>Q225</f>
        <v>30000</v>
      </c>
      <c r="R226" s="588">
        <f>R225</f>
        <v>0</v>
      </c>
      <c r="S226" s="601"/>
      <c r="T226" s="585"/>
      <c r="U226" s="585"/>
      <c r="V226" s="585"/>
    </row>
    <row r="227" spans="1:22" ht="64.5" customHeight="1">
      <c r="A227" s="1223"/>
      <c r="B227" s="594"/>
      <c r="C227" s="594"/>
      <c r="D227" s="594"/>
      <c r="E227" s="594"/>
      <c r="F227" s="594"/>
      <c r="G227" s="594"/>
      <c r="H227" s="594"/>
      <c r="I227" s="594"/>
      <c r="J227" s="1234"/>
      <c r="K227" s="1206"/>
      <c r="L227" s="1200" t="s">
        <v>1542</v>
      </c>
      <c r="M227" s="1244" t="s">
        <v>3621</v>
      </c>
      <c r="N227" s="1184"/>
      <c r="O227" s="1184"/>
      <c r="P227" s="587">
        <f>512000+2225000-150000+265000+500000</f>
        <v>3352000</v>
      </c>
      <c r="Q227" s="587">
        <v>3340000</v>
      </c>
      <c r="R227" s="587">
        <f t="shared" si="7"/>
        <v>12000</v>
      </c>
      <c r="S227" s="595" t="s">
        <v>3681</v>
      </c>
      <c r="T227" s="585"/>
      <c r="U227" s="585"/>
      <c r="V227" s="585"/>
    </row>
    <row r="228" spans="1:22" ht="37.5" customHeight="1">
      <c r="A228" s="1223"/>
      <c r="B228" s="594"/>
      <c r="C228" s="594"/>
      <c r="D228" s="594"/>
      <c r="E228" s="594"/>
      <c r="F228" s="594"/>
      <c r="G228" s="594"/>
      <c r="H228" s="594"/>
      <c r="I228" s="594"/>
      <c r="J228" s="1234"/>
      <c r="K228" s="1206"/>
      <c r="L228" s="1207"/>
      <c r="M228" s="594" t="s">
        <v>3682</v>
      </c>
      <c r="N228" s="1206" t="s">
        <v>3051</v>
      </c>
      <c r="O228" s="1207"/>
      <c r="P228" s="587">
        <v>150000</v>
      </c>
      <c r="Q228" s="587">
        <v>150000</v>
      </c>
      <c r="R228" s="587">
        <f t="shared" si="7"/>
        <v>0</v>
      </c>
      <c r="S228" s="595" t="s">
        <v>3683</v>
      </c>
      <c r="T228" s="585"/>
      <c r="U228" s="585"/>
      <c r="V228" s="585"/>
    </row>
    <row r="229" spans="1:22" ht="15" customHeight="1">
      <c r="A229" s="1223"/>
      <c r="B229" s="594"/>
      <c r="C229" s="594"/>
      <c r="D229" s="594"/>
      <c r="E229" s="594"/>
      <c r="F229" s="594"/>
      <c r="G229" s="594"/>
      <c r="H229" s="594"/>
      <c r="I229" s="594"/>
      <c r="J229" s="1234"/>
      <c r="K229" s="1206"/>
      <c r="L229" s="1210" t="s">
        <v>3684</v>
      </c>
      <c r="M229" s="1233"/>
      <c r="N229" s="1233"/>
      <c r="O229" s="1233"/>
      <c r="P229" s="588">
        <f>SUM(P227:P228)</f>
        <v>3502000</v>
      </c>
      <c r="Q229" s="588">
        <f>SUM(Q227:Q228)</f>
        <v>3490000</v>
      </c>
      <c r="R229" s="588">
        <f>SUM(R227:R228)</f>
        <v>12000</v>
      </c>
      <c r="S229" s="601"/>
      <c r="T229" s="585"/>
      <c r="U229" s="585"/>
      <c r="V229" s="585"/>
    </row>
    <row r="230" spans="1:22" ht="24.6" customHeight="1">
      <c r="A230" s="1223"/>
      <c r="B230" s="594"/>
      <c r="C230" s="594"/>
      <c r="D230" s="594"/>
      <c r="E230" s="594"/>
      <c r="F230" s="594"/>
      <c r="G230" s="594"/>
      <c r="H230" s="594"/>
      <c r="I230" s="594"/>
      <c r="J230" s="1206" t="s">
        <v>3587</v>
      </c>
      <c r="K230" s="1206" t="s">
        <v>1321</v>
      </c>
      <c r="L230" s="589" t="s">
        <v>1359</v>
      </c>
      <c r="M230" s="594" t="s">
        <v>3666</v>
      </c>
      <c r="N230" s="1206" t="s">
        <v>1624</v>
      </c>
      <c r="O230" s="1207"/>
      <c r="P230" s="587">
        <v>656250</v>
      </c>
      <c r="Q230" s="587">
        <v>656250</v>
      </c>
      <c r="R230" s="587">
        <f t="shared" si="7"/>
        <v>0</v>
      </c>
      <c r="S230" s="595" t="s">
        <v>3597</v>
      </c>
      <c r="T230" s="585"/>
      <c r="U230" s="585"/>
      <c r="V230" s="585"/>
    </row>
    <row r="231" spans="1:22" ht="15" customHeight="1">
      <c r="A231" s="1223"/>
      <c r="B231" s="594"/>
      <c r="C231" s="594"/>
      <c r="D231" s="594"/>
      <c r="E231" s="594"/>
      <c r="F231" s="594"/>
      <c r="G231" s="594"/>
      <c r="H231" s="594"/>
      <c r="I231" s="594"/>
      <c r="J231" s="1223"/>
      <c r="K231" s="1223"/>
      <c r="L231" s="1210" t="s">
        <v>3685</v>
      </c>
      <c r="M231" s="1233"/>
      <c r="N231" s="1233"/>
      <c r="O231" s="1233"/>
      <c r="P231" s="588">
        <f>P230</f>
        <v>656250</v>
      </c>
      <c r="Q231" s="588">
        <f>Q230</f>
        <v>656250</v>
      </c>
      <c r="R231" s="588">
        <f>R230</f>
        <v>0</v>
      </c>
      <c r="S231" s="601"/>
      <c r="T231" s="585"/>
      <c r="U231" s="585"/>
      <c r="V231" s="585"/>
    </row>
    <row r="232" spans="1:22" ht="24.6" customHeight="1">
      <c r="A232" s="1223"/>
      <c r="B232" s="594"/>
      <c r="C232" s="594"/>
      <c r="D232" s="594"/>
      <c r="E232" s="594"/>
      <c r="F232" s="594"/>
      <c r="G232" s="594"/>
      <c r="H232" s="594"/>
      <c r="I232" s="594"/>
      <c r="J232" s="1200" t="s">
        <v>3587</v>
      </c>
      <c r="K232" s="1200" t="s">
        <v>1321</v>
      </c>
      <c r="L232" s="1200" t="s">
        <v>1330</v>
      </c>
      <c r="M232" s="1206" t="s">
        <v>3666</v>
      </c>
      <c r="N232" s="1206" t="s">
        <v>1638</v>
      </c>
      <c r="O232" s="1207"/>
      <c r="P232" s="587">
        <v>3777611</v>
      </c>
      <c r="Q232" s="587">
        <v>3777611</v>
      </c>
      <c r="R232" s="587">
        <f t="shared" si="7"/>
        <v>0</v>
      </c>
      <c r="S232" s="595" t="s">
        <v>3597</v>
      </c>
      <c r="T232" s="585"/>
      <c r="U232" s="585"/>
      <c r="V232" s="585"/>
    </row>
    <row r="233" spans="1:22" ht="24.6" customHeight="1">
      <c r="A233" s="1223"/>
      <c r="B233" s="594"/>
      <c r="C233" s="594"/>
      <c r="D233" s="594"/>
      <c r="E233" s="594"/>
      <c r="F233" s="594"/>
      <c r="G233" s="594"/>
      <c r="H233" s="594"/>
      <c r="I233" s="594"/>
      <c r="J233" s="1223"/>
      <c r="K233" s="1223"/>
      <c r="L233" s="1223"/>
      <c r="M233" s="1223"/>
      <c r="N233" s="1206" t="s">
        <v>1645</v>
      </c>
      <c r="O233" s="1207"/>
      <c r="P233" s="587">
        <v>1900000</v>
      </c>
      <c r="Q233" s="587">
        <v>1900000</v>
      </c>
      <c r="R233" s="587">
        <f t="shared" si="7"/>
        <v>0</v>
      </c>
      <c r="S233" s="595" t="s">
        <v>3672</v>
      </c>
      <c r="T233" s="585"/>
      <c r="U233" s="585"/>
      <c r="V233" s="585"/>
    </row>
    <row r="234" spans="1:22" ht="24.6" customHeight="1">
      <c r="A234" s="1223"/>
      <c r="B234" s="594"/>
      <c r="C234" s="594"/>
      <c r="D234" s="594"/>
      <c r="E234" s="594"/>
      <c r="F234" s="594"/>
      <c r="G234" s="594"/>
      <c r="H234" s="594"/>
      <c r="I234" s="594"/>
      <c r="J234" s="1223"/>
      <c r="K234" s="1223"/>
      <c r="L234" s="1223"/>
      <c r="M234" s="1223"/>
      <c r="N234" s="1206" t="s">
        <v>3676</v>
      </c>
      <c r="O234" s="1207"/>
      <c r="P234" s="587">
        <v>1800000</v>
      </c>
      <c r="Q234" s="587">
        <v>1799999</v>
      </c>
      <c r="R234" s="587">
        <f t="shared" si="7"/>
        <v>1</v>
      </c>
      <c r="S234" s="595" t="s">
        <v>3686</v>
      </c>
      <c r="T234" s="585"/>
      <c r="U234" s="585"/>
      <c r="V234" s="585"/>
    </row>
    <row r="235" spans="1:22" ht="24.6" customHeight="1">
      <c r="A235" s="1223"/>
      <c r="B235" s="594"/>
      <c r="C235" s="594"/>
      <c r="D235" s="594"/>
      <c r="E235" s="594"/>
      <c r="F235" s="594"/>
      <c r="G235" s="594"/>
      <c r="H235" s="594"/>
      <c r="I235" s="594"/>
      <c r="J235" s="1223"/>
      <c r="K235" s="1223"/>
      <c r="L235" s="1223"/>
      <c r="M235" s="1206" t="s">
        <v>3670</v>
      </c>
      <c r="N235" s="1206" t="s">
        <v>1680</v>
      </c>
      <c r="O235" s="1206"/>
      <c r="P235" s="587">
        <v>3758368</v>
      </c>
      <c r="Q235" s="587">
        <v>3758368</v>
      </c>
      <c r="R235" s="587">
        <f t="shared" si="7"/>
        <v>0</v>
      </c>
      <c r="S235" s="595" t="s">
        <v>3597</v>
      </c>
      <c r="T235" s="585"/>
      <c r="U235" s="585"/>
      <c r="V235" s="585"/>
    </row>
    <row r="236" spans="1:22" ht="24.6" customHeight="1">
      <c r="A236" s="1223"/>
      <c r="B236" s="594"/>
      <c r="C236" s="594"/>
      <c r="D236" s="594"/>
      <c r="E236" s="594"/>
      <c r="F236" s="594"/>
      <c r="G236" s="594"/>
      <c r="H236" s="594"/>
      <c r="I236" s="594"/>
      <c r="J236" s="1223"/>
      <c r="K236" s="1223"/>
      <c r="L236" s="1223"/>
      <c r="M236" s="1206"/>
      <c r="N236" s="1206" t="s">
        <v>1686</v>
      </c>
      <c r="O236" s="1206"/>
      <c r="P236" s="587">
        <v>1700000</v>
      </c>
      <c r="Q236" s="587">
        <v>736811</v>
      </c>
      <c r="R236" s="587">
        <f t="shared" si="7"/>
        <v>963189</v>
      </c>
      <c r="S236" s="595" t="s">
        <v>3687</v>
      </c>
      <c r="T236" s="585"/>
      <c r="U236" s="585"/>
      <c r="V236" s="585"/>
    </row>
    <row r="237" spans="1:22" ht="24.6" customHeight="1">
      <c r="A237" s="1223"/>
      <c r="B237" s="594"/>
      <c r="C237" s="594"/>
      <c r="D237" s="594"/>
      <c r="E237" s="594"/>
      <c r="F237" s="594"/>
      <c r="G237" s="594"/>
      <c r="H237" s="594"/>
      <c r="I237" s="594"/>
      <c r="J237" s="1223"/>
      <c r="K237" s="1223"/>
      <c r="L237" s="1223"/>
      <c r="M237" s="1206"/>
      <c r="N237" s="1206" t="s">
        <v>1688</v>
      </c>
      <c r="O237" s="1206"/>
      <c r="P237" s="587">
        <v>1000000</v>
      </c>
      <c r="Q237" s="587">
        <v>300000</v>
      </c>
      <c r="R237" s="587">
        <f t="shared" si="7"/>
        <v>700000</v>
      </c>
      <c r="S237" s="595" t="s">
        <v>3672</v>
      </c>
      <c r="T237" s="585"/>
      <c r="U237" s="585"/>
      <c r="V237" s="585"/>
    </row>
    <row r="238" spans="1:22" ht="24.6" customHeight="1">
      <c r="A238" s="1223"/>
      <c r="B238" s="594"/>
      <c r="C238" s="594"/>
      <c r="D238" s="594"/>
      <c r="E238" s="594"/>
      <c r="F238" s="594"/>
      <c r="G238" s="594"/>
      <c r="H238" s="594"/>
      <c r="I238" s="594"/>
      <c r="J238" s="1223"/>
      <c r="K238" s="1223"/>
      <c r="L238" s="1223"/>
      <c r="M238" s="1206"/>
      <c r="N238" s="1206" t="s">
        <v>1692</v>
      </c>
      <c r="O238" s="1206"/>
      <c r="P238" s="587">
        <v>250000</v>
      </c>
      <c r="Q238" s="587">
        <v>226512</v>
      </c>
      <c r="R238" s="587">
        <f t="shared" si="7"/>
        <v>23488</v>
      </c>
      <c r="S238" s="595" t="s">
        <v>3672</v>
      </c>
      <c r="T238" s="585"/>
      <c r="U238" s="585"/>
      <c r="V238" s="585"/>
    </row>
    <row r="239" spans="1:22" ht="15" customHeight="1">
      <c r="A239" s="1223"/>
      <c r="B239" s="594"/>
      <c r="C239" s="594"/>
      <c r="D239" s="594"/>
      <c r="E239" s="594"/>
      <c r="F239" s="594"/>
      <c r="G239" s="594"/>
      <c r="H239" s="594"/>
      <c r="I239" s="594"/>
      <c r="J239" s="1223"/>
      <c r="K239" s="1223"/>
      <c r="L239" s="1245" t="s">
        <v>3607</v>
      </c>
      <c r="M239" s="1245"/>
      <c r="N239" s="1245"/>
      <c r="O239" s="1245"/>
      <c r="P239" s="588">
        <f>SUM(P232:P238)</f>
        <v>14185979</v>
      </c>
      <c r="Q239" s="588">
        <f>SUM(Q232:Q238)</f>
        <v>12499301</v>
      </c>
      <c r="R239" s="588">
        <f>SUM(R232:R238)</f>
        <v>1686678</v>
      </c>
      <c r="S239" s="595"/>
      <c r="T239" s="585"/>
      <c r="U239" s="585"/>
      <c r="V239" s="585"/>
    </row>
    <row r="240" spans="1:22" ht="24.6" customHeight="1">
      <c r="A240" s="1223"/>
      <c r="B240" s="594"/>
      <c r="C240" s="594"/>
      <c r="D240" s="594"/>
      <c r="E240" s="594"/>
      <c r="F240" s="594"/>
      <c r="G240" s="594"/>
      <c r="H240" s="594"/>
      <c r="I240" s="594"/>
      <c r="J240" s="1223"/>
      <c r="K240" s="1223"/>
      <c r="L240" s="1200" t="s">
        <v>1328</v>
      </c>
      <c r="M240" s="1206" t="s">
        <v>3662</v>
      </c>
      <c r="N240" s="1206" t="s">
        <v>1585</v>
      </c>
      <c r="O240" s="1206"/>
      <c r="P240" s="587">
        <v>3000000</v>
      </c>
      <c r="Q240" s="587">
        <v>2123155</v>
      </c>
      <c r="R240" s="587">
        <f t="shared" si="7"/>
        <v>876845</v>
      </c>
      <c r="S240" s="595" t="s">
        <v>3688</v>
      </c>
      <c r="T240" s="585"/>
      <c r="U240" s="585"/>
      <c r="V240" s="585"/>
    </row>
    <row r="241" spans="1:22" ht="24.6" customHeight="1">
      <c r="A241" s="1223"/>
      <c r="B241" s="594"/>
      <c r="C241" s="594"/>
      <c r="D241" s="594"/>
      <c r="E241" s="594"/>
      <c r="F241" s="594"/>
      <c r="G241" s="594"/>
      <c r="H241" s="594"/>
      <c r="I241" s="594"/>
      <c r="J241" s="1223"/>
      <c r="K241" s="1223"/>
      <c r="L241" s="1206"/>
      <c r="M241" s="1206"/>
      <c r="N241" s="1206" t="s">
        <v>1586</v>
      </c>
      <c r="O241" s="1206"/>
      <c r="P241" s="587">
        <f>300000+100000</f>
        <v>400000</v>
      </c>
      <c r="Q241" s="587">
        <v>400000</v>
      </c>
      <c r="R241" s="587">
        <f t="shared" si="7"/>
        <v>0</v>
      </c>
      <c r="S241" s="595" t="s">
        <v>3677</v>
      </c>
      <c r="T241" s="585"/>
      <c r="U241" s="585"/>
      <c r="V241" s="585"/>
    </row>
    <row r="242" spans="1:22" ht="24.6" customHeight="1">
      <c r="A242" s="1236" t="s">
        <v>1518</v>
      </c>
      <c r="B242" s="594"/>
      <c r="C242" s="594"/>
      <c r="D242" s="594"/>
      <c r="E242" s="594"/>
      <c r="F242" s="594"/>
      <c r="G242" s="594"/>
      <c r="H242" s="594"/>
      <c r="I242" s="594"/>
      <c r="J242" s="1237" t="s">
        <v>3587</v>
      </c>
      <c r="K242" s="1237" t="s">
        <v>1321</v>
      </c>
      <c r="L242" s="1200" t="s">
        <v>1328</v>
      </c>
      <c r="M242" s="594" t="s">
        <v>3664</v>
      </c>
      <c r="N242" s="1206" t="s">
        <v>1600</v>
      </c>
      <c r="O242" s="1206"/>
      <c r="P242" s="587">
        <v>700000</v>
      </c>
      <c r="Q242" s="587">
        <v>694000</v>
      </c>
      <c r="R242" s="587">
        <f t="shared" si="7"/>
        <v>6000</v>
      </c>
      <c r="S242" s="595" t="s">
        <v>3672</v>
      </c>
      <c r="T242" s="585"/>
      <c r="U242" s="585"/>
      <c r="V242" s="585"/>
    </row>
    <row r="243" spans="1:22" ht="24.6" customHeight="1">
      <c r="A243" s="1236"/>
      <c r="B243" s="594"/>
      <c r="C243" s="594"/>
      <c r="D243" s="594"/>
      <c r="E243" s="594"/>
      <c r="F243" s="594"/>
      <c r="G243" s="594"/>
      <c r="H243" s="594"/>
      <c r="I243" s="594"/>
      <c r="J243" s="1237"/>
      <c r="K243" s="1237"/>
      <c r="L243" s="1200"/>
      <c r="M243" s="594" t="s">
        <v>3666</v>
      </c>
      <c r="N243" s="1206" t="s">
        <v>1642</v>
      </c>
      <c r="O243" s="1206"/>
      <c r="P243" s="587">
        <v>150000</v>
      </c>
      <c r="Q243" s="587">
        <v>150000</v>
      </c>
      <c r="R243" s="587">
        <f t="shared" si="7"/>
        <v>0</v>
      </c>
      <c r="S243" s="595" t="s">
        <v>3689</v>
      </c>
      <c r="T243" s="585"/>
      <c r="U243" s="585"/>
      <c r="V243" s="585"/>
    </row>
    <row r="244" spans="1:22" ht="24.6" customHeight="1">
      <c r="A244" s="1236"/>
      <c r="B244" s="594"/>
      <c r="C244" s="594"/>
      <c r="D244" s="594"/>
      <c r="E244" s="594"/>
      <c r="F244" s="594"/>
      <c r="G244" s="594"/>
      <c r="H244" s="594"/>
      <c r="I244" s="594"/>
      <c r="J244" s="1237"/>
      <c r="K244" s="1237"/>
      <c r="L244" s="1200"/>
      <c r="M244" s="594" t="s">
        <v>3669</v>
      </c>
      <c r="N244" s="1206" t="s">
        <v>1675</v>
      </c>
      <c r="O244" s="1206"/>
      <c r="P244" s="587">
        <v>1500000</v>
      </c>
      <c r="Q244" s="587">
        <v>1500000</v>
      </c>
      <c r="R244" s="587">
        <f t="shared" si="7"/>
        <v>0</v>
      </c>
      <c r="S244" s="595" t="s">
        <v>3672</v>
      </c>
      <c r="T244" s="585"/>
      <c r="U244" s="585"/>
      <c r="V244" s="585"/>
    </row>
    <row r="245" spans="1:22" ht="15" customHeight="1">
      <c r="A245" s="1236"/>
      <c r="B245" s="594"/>
      <c r="C245" s="594"/>
      <c r="D245" s="594"/>
      <c r="E245" s="594"/>
      <c r="F245" s="594"/>
      <c r="G245" s="594"/>
      <c r="H245" s="594"/>
      <c r="I245" s="594"/>
      <c r="J245" s="1237"/>
      <c r="K245" s="1237"/>
      <c r="L245" s="1210" t="s">
        <v>3614</v>
      </c>
      <c r="M245" s="1210"/>
      <c r="N245" s="1210"/>
      <c r="O245" s="1210"/>
      <c r="P245" s="588">
        <f>SUM(P240:P244)</f>
        <v>5750000</v>
      </c>
      <c r="Q245" s="588">
        <f>SUM(Q240:Q244)</f>
        <v>4867155</v>
      </c>
      <c r="R245" s="588">
        <f>SUM(R240:R244)</f>
        <v>882845</v>
      </c>
      <c r="S245" s="595"/>
      <c r="T245" s="585"/>
      <c r="U245" s="585"/>
      <c r="V245" s="585"/>
    </row>
    <row r="246" spans="1:22" ht="42.75" customHeight="1">
      <c r="A246" s="1236"/>
      <c r="B246" s="594"/>
      <c r="C246" s="594"/>
      <c r="D246" s="594"/>
      <c r="E246" s="594"/>
      <c r="F246" s="594"/>
      <c r="G246" s="594"/>
      <c r="H246" s="594"/>
      <c r="I246" s="594"/>
      <c r="J246" s="1221" t="s">
        <v>3690</v>
      </c>
      <c r="K246" s="1221"/>
      <c r="L246" s="1221"/>
      <c r="M246" s="1221"/>
      <c r="N246" s="1221"/>
      <c r="O246" s="1221"/>
      <c r="P246" s="588">
        <f>1000000-913500-30000</f>
        <v>56500</v>
      </c>
      <c r="Q246" s="588">
        <v>0</v>
      </c>
      <c r="R246" s="588">
        <f t="shared" si="7"/>
        <v>56500</v>
      </c>
      <c r="S246" s="595" t="s">
        <v>3663</v>
      </c>
      <c r="T246" s="585"/>
      <c r="U246" s="585"/>
      <c r="V246" s="585"/>
    </row>
    <row r="247" spans="1:22" ht="35.25" customHeight="1">
      <c r="A247" s="1236"/>
      <c r="B247" s="594"/>
      <c r="C247" s="594"/>
      <c r="D247" s="594"/>
      <c r="E247" s="594"/>
      <c r="F247" s="594"/>
      <c r="G247" s="594"/>
      <c r="H247" s="594"/>
      <c r="I247" s="594"/>
      <c r="J247" s="1221" t="s">
        <v>3691</v>
      </c>
      <c r="K247" s="1223"/>
      <c r="L247" s="1223"/>
      <c r="M247" s="1223"/>
      <c r="N247" s="1223"/>
      <c r="O247" s="1223"/>
      <c r="P247" s="588">
        <v>7640</v>
      </c>
      <c r="Q247" s="588">
        <v>0</v>
      </c>
      <c r="R247" s="588">
        <v>7640</v>
      </c>
      <c r="S247" s="595" t="s">
        <v>3678</v>
      </c>
      <c r="T247" s="585"/>
      <c r="U247" s="585"/>
      <c r="V247" s="585"/>
    </row>
    <row r="248" spans="1:22" ht="15" customHeight="1">
      <c r="A248" s="1236"/>
      <c r="B248" s="594"/>
      <c r="C248" s="594"/>
      <c r="D248" s="594"/>
      <c r="E248" s="594"/>
      <c r="F248" s="594"/>
      <c r="G248" s="594"/>
      <c r="H248" s="594"/>
      <c r="I248" s="594"/>
      <c r="J248" s="1221" t="s">
        <v>3608</v>
      </c>
      <c r="K248" s="1221"/>
      <c r="L248" s="1221"/>
      <c r="M248" s="1221"/>
      <c r="N248" s="1221"/>
      <c r="O248" s="1221"/>
      <c r="P248" s="588">
        <f>35000000+1425000-913500-17773360-30000-3502000-1900000-1800000-1700000-1000000-250000-5750000-56500-7640</f>
        <v>1742000</v>
      </c>
      <c r="Q248" s="588">
        <v>0</v>
      </c>
      <c r="R248" s="588">
        <f t="shared" si="7"/>
        <v>1742000</v>
      </c>
      <c r="S248" s="595" t="s">
        <v>3609</v>
      </c>
      <c r="T248" s="585"/>
      <c r="U248" s="585"/>
      <c r="V248" s="585"/>
    </row>
    <row r="249" spans="1:22" ht="24.6" customHeight="1">
      <c r="A249" s="1217" t="s">
        <v>3692</v>
      </c>
      <c r="B249" s="1217"/>
      <c r="C249" s="1217"/>
      <c r="D249" s="1217"/>
      <c r="E249" s="1217"/>
      <c r="F249" s="1217"/>
      <c r="G249" s="1217"/>
      <c r="H249" s="1217"/>
      <c r="I249" s="1217"/>
      <c r="J249" s="1217"/>
      <c r="K249" s="1217"/>
      <c r="L249" s="1217"/>
      <c r="M249" s="1217"/>
      <c r="N249" s="1217"/>
      <c r="O249" s="1217"/>
      <c r="P249" s="591">
        <f>P137+P224+P226+P229+P231+P239+P245+P246+P247+P248</f>
        <v>44617229</v>
      </c>
      <c r="Q249" s="591">
        <f>Q137+Q224+Q226+Q229+Q231+Q239+Q245+Q246+Q247+Q248</f>
        <v>40229566</v>
      </c>
      <c r="R249" s="591">
        <f>R137+R224+R226+R229+R231+R239+R245+R246+R247+R248</f>
        <v>4387663</v>
      </c>
      <c r="S249" s="603"/>
      <c r="T249" s="585"/>
      <c r="U249" s="585"/>
      <c r="V249" s="585"/>
    </row>
    <row r="250" spans="1:22" ht="15" customHeight="1">
      <c r="A250" s="1240" t="s">
        <v>1544</v>
      </c>
      <c r="B250" s="594"/>
      <c r="C250" s="594"/>
      <c r="D250" s="594"/>
      <c r="E250" s="594"/>
      <c r="F250" s="594"/>
      <c r="G250" s="594"/>
      <c r="H250" s="594"/>
      <c r="I250" s="594"/>
      <c r="J250" s="1206" t="s">
        <v>3582</v>
      </c>
      <c r="K250" s="1206" t="s">
        <v>1301</v>
      </c>
      <c r="L250" s="1206" t="s">
        <v>1572</v>
      </c>
      <c r="M250" s="1244" t="s">
        <v>3621</v>
      </c>
      <c r="N250" s="1235"/>
      <c r="O250" s="1235"/>
      <c r="P250" s="587">
        <f>936254+2378</f>
        <v>938632</v>
      </c>
      <c r="Q250" s="587">
        <f>936254+2378</f>
        <v>938632</v>
      </c>
      <c r="R250" s="587">
        <f t="shared" ref="R250:R313" si="8">P250-Q250</f>
        <v>0</v>
      </c>
      <c r="S250" s="1246" t="s">
        <v>3693</v>
      </c>
      <c r="T250" s="585"/>
      <c r="U250" s="585"/>
      <c r="V250" s="585"/>
    </row>
    <row r="251" spans="1:22" ht="15" customHeight="1">
      <c r="A251" s="1240"/>
      <c r="B251" s="594"/>
      <c r="C251" s="594"/>
      <c r="D251" s="594"/>
      <c r="E251" s="594"/>
      <c r="F251" s="594"/>
      <c r="G251" s="594"/>
      <c r="H251" s="594"/>
      <c r="I251" s="594"/>
      <c r="J251" s="1206"/>
      <c r="K251" s="1206"/>
      <c r="L251" s="1206"/>
      <c r="M251" s="1206" t="s">
        <v>3624</v>
      </c>
      <c r="N251" s="1206" t="s">
        <v>1894</v>
      </c>
      <c r="O251" s="594" t="s">
        <v>2647</v>
      </c>
      <c r="P251" s="587">
        <v>62760</v>
      </c>
      <c r="Q251" s="587">
        <v>62760</v>
      </c>
      <c r="R251" s="587">
        <f t="shared" si="8"/>
        <v>0</v>
      </c>
      <c r="S251" s="1215"/>
      <c r="T251" s="585"/>
      <c r="U251" s="585"/>
      <c r="V251" s="585"/>
    </row>
    <row r="252" spans="1:22" ht="15" customHeight="1">
      <c r="A252" s="1240"/>
      <c r="B252" s="594"/>
      <c r="C252" s="594"/>
      <c r="D252" s="594"/>
      <c r="E252" s="594"/>
      <c r="F252" s="594"/>
      <c r="G252" s="594"/>
      <c r="H252" s="594"/>
      <c r="I252" s="594"/>
      <c r="J252" s="1206"/>
      <c r="K252" s="1206"/>
      <c r="L252" s="1206"/>
      <c r="M252" s="1206"/>
      <c r="N252" s="1206"/>
      <c r="O252" s="594" t="s">
        <v>2669</v>
      </c>
      <c r="P252" s="587">
        <v>157372</v>
      </c>
      <c r="Q252" s="587">
        <v>157372</v>
      </c>
      <c r="R252" s="587">
        <f t="shared" si="8"/>
        <v>0</v>
      </c>
      <c r="S252" s="1215"/>
      <c r="T252" s="585"/>
      <c r="U252" s="585"/>
      <c r="V252" s="585"/>
    </row>
    <row r="253" spans="1:22" ht="15" customHeight="1">
      <c r="A253" s="1240"/>
      <c r="B253" s="594"/>
      <c r="C253" s="594"/>
      <c r="D253" s="594"/>
      <c r="E253" s="594"/>
      <c r="F253" s="594"/>
      <c r="G253" s="594"/>
      <c r="H253" s="594"/>
      <c r="I253" s="594"/>
      <c r="J253" s="1206"/>
      <c r="K253" s="1206"/>
      <c r="L253" s="1206"/>
      <c r="M253" s="1206"/>
      <c r="N253" s="1206"/>
      <c r="O253" s="594" t="s">
        <v>2675</v>
      </c>
      <c r="P253" s="587">
        <v>18444</v>
      </c>
      <c r="Q253" s="587">
        <v>18444</v>
      </c>
      <c r="R253" s="587">
        <f t="shared" si="8"/>
        <v>0</v>
      </c>
      <c r="S253" s="1215"/>
      <c r="T253" s="585"/>
      <c r="U253" s="585"/>
      <c r="V253" s="585"/>
    </row>
    <row r="254" spans="1:22" ht="15" customHeight="1">
      <c r="A254" s="1240"/>
      <c r="B254" s="594"/>
      <c r="C254" s="594"/>
      <c r="D254" s="594"/>
      <c r="E254" s="594"/>
      <c r="F254" s="594"/>
      <c r="G254" s="594"/>
      <c r="H254" s="594"/>
      <c r="I254" s="594"/>
      <c r="J254" s="1206"/>
      <c r="K254" s="1206"/>
      <c r="L254" s="1206"/>
      <c r="M254" s="1206"/>
      <c r="N254" s="1206"/>
      <c r="O254" s="594" t="s">
        <v>2681</v>
      </c>
      <c r="P254" s="587">
        <v>40000</v>
      </c>
      <c r="Q254" s="587">
        <v>40000</v>
      </c>
      <c r="R254" s="587">
        <f t="shared" si="8"/>
        <v>0</v>
      </c>
      <c r="S254" s="1215"/>
      <c r="T254" s="585"/>
      <c r="U254" s="585"/>
      <c r="V254" s="585"/>
    </row>
    <row r="255" spans="1:22" ht="15" customHeight="1">
      <c r="A255" s="1240"/>
      <c r="B255" s="594"/>
      <c r="C255" s="594"/>
      <c r="D255" s="594"/>
      <c r="E255" s="594"/>
      <c r="F255" s="594"/>
      <c r="G255" s="594"/>
      <c r="H255" s="594"/>
      <c r="I255" s="594"/>
      <c r="J255" s="1206"/>
      <c r="K255" s="1206"/>
      <c r="L255" s="1206"/>
      <c r="M255" s="1206"/>
      <c r="N255" s="1206"/>
      <c r="O255" s="594" t="s">
        <v>2683</v>
      </c>
      <c r="P255" s="587">
        <v>8424</v>
      </c>
      <c r="Q255" s="587">
        <v>8424</v>
      </c>
      <c r="R255" s="587">
        <f t="shared" si="8"/>
        <v>0</v>
      </c>
      <c r="S255" s="1215"/>
      <c r="T255" s="585"/>
      <c r="U255" s="585"/>
      <c r="V255" s="585"/>
    </row>
    <row r="256" spans="1:22" ht="15" customHeight="1">
      <c r="A256" s="1240"/>
      <c r="B256" s="594"/>
      <c r="C256" s="594"/>
      <c r="D256" s="594"/>
      <c r="E256" s="594"/>
      <c r="F256" s="594"/>
      <c r="G256" s="594"/>
      <c r="H256" s="594"/>
      <c r="I256" s="594"/>
      <c r="J256" s="1206"/>
      <c r="K256" s="1206"/>
      <c r="L256" s="1206"/>
      <c r="M256" s="1206"/>
      <c r="N256" s="1206"/>
      <c r="O256" s="594" t="s">
        <v>2702</v>
      </c>
      <c r="P256" s="587">
        <v>20700</v>
      </c>
      <c r="Q256" s="587">
        <v>20700</v>
      </c>
      <c r="R256" s="587">
        <f t="shared" si="8"/>
        <v>0</v>
      </c>
      <c r="S256" s="1215"/>
      <c r="T256" s="585"/>
      <c r="U256" s="585"/>
      <c r="V256" s="585"/>
    </row>
    <row r="257" spans="1:22" ht="15" customHeight="1">
      <c r="A257" s="1240"/>
      <c r="B257" s="594"/>
      <c r="C257" s="594"/>
      <c r="D257" s="594"/>
      <c r="E257" s="594"/>
      <c r="F257" s="594"/>
      <c r="G257" s="594"/>
      <c r="H257" s="594"/>
      <c r="I257" s="594"/>
      <c r="J257" s="1206"/>
      <c r="K257" s="1206"/>
      <c r="L257" s="1206"/>
      <c r="M257" s="1206"/>
      <c r="N257" s="1206"/>
      <c r="O257" s="594" t="s">
        <v>2711</v>
      </c>
      <c r="P257" s="587">
        <v>8550</v>
      </c>
      <c r="Q257" s="587">
        <v>8550</v>
      </c>
      <c r="R257" s="587">
        <f t="shared" si="8"/>
        <v>0</v>
      </c>
      <c r="S257" s="1215"/>
      <c r="T257" s="585"/>
      <c r="U257" s="585"/>
      <c r="V257" s="585"/>
    </row>
    <row r="258" spans="1:22" ht="15" customHeight="1">
      <c r="A258" s="1240"/>
      <c r="B258" s="594"/>
      <c r="C258" s="594"/>
      <c r="D258" s="594"/>
      <c r="E258" s="594"/>
      <c r="F258" s="594"/>
      <c r="G258" s="594"/>
      <c r="H258" s="594"/>
      <c r="I258" s="594"/>
      <c r="J258" s="1206"/>
      <c r="K258" s="1206"/>
      <c r="L258" s="1206"/>
      <c r="M258" s="1206"/>
      <c r="N258" s="1206" t="s">
        <v>1994</v>
      </c>
      <c r="O258" s="594" t="s">
        <v>2716</v>
      </c>
      <c r="P258" s="587">
        <v>44882</v>
      </c>
      <c r="Q258" s="587">
        <v>44882</v>
      </c>
      <c r="R258" s="587">
        <f t="shared" si="8"/>
        <v>0</v>
      </c>
      <c r="S258" s="1215"/>
      <c r="T258" s="585"/>
      <c r="U258" s="585"/>
      <c r="V258" s="585"/>
    </row>
    <row r="259" spans="1:22" ht="15" customHeight="1">
      <c r="A259" s="1240"/>
      <c r="B259" s="594"/>
      <c r="C259" s="594"/>
      <c r="D259" s="594"/>
      <c r="E259" s="594"/>
      <c r="F259" s="594"/>
      <c r="G259" s="594"/>
      <c r="H259" s="594"/>
      <c r="I259" s="594"/>
      <c r="J259" s="1206"/>
      <c r="K259" s="1206"/>
      <c r="L259" s="1206"/>
      <c r="M259" s="1206"/>
      <c r="N259" s="1206"/>
      <c r="O259" s="594" t="s">
        <v>2728</v>
      </c>
      <c r="P259" s="587">
        <v>17800</v>
      </c>
      <c r="Q259" s="587">
        <v>17800</v>
      </c>
      <c r="R259" s="587">
        <f t="shared" si="8"/>
        <v>0</v>
      </c>
      <c r="S259" s="1215"/>
      <c r="T259" s="585"/>
      <c r="U259" s="585"/>
      <c r="V259" s="585"/>
    </row>
    <row r="260" spans="1:22" ht="15" customHeight="1">
      <c r="A260" s="1240"/>
      <c r="B260" s="594"/>
      <c r="C260" s="594"/>
      <c r="D260" s="594"/>
      <c r="E260" s="594"/>
      <c r="F260" s="594"/>
      <c r="G260" s="594"/>
      <c r="H260" s="594"/>
      <c r="I260" s="594"/>
      <c r="J260" s="1206"/>
      <c r="K260" s="1206"/>
      <c r="L260" s="1206"/>
      <c r="M260" s="1206"/>
      <c r="N260" s="1206"/>
      <c r="O260" s="594" t="s">
        <v>2731</v>
      </c>
      <c r="P260" s="587">
        <v>10840</v>
      </c>
      <c r="Q260" s="587">
        <v>10840</v>
      </c>
      <c r="R260" s="587">
        <f t="shared" si="8"/>
        <v>0</v>
      </c>
      <c r="S260" s="1215"/>
      <c r="T260" s="585"/>
      <c r="U260" s="585"/>
      <c r="V260" s="585"/>
    </row>
    <row r="261" spans="1:22" ht="15" customHeight="1">
      <c r="A261" s="1240"/>
      <c r="B261" s="594"/>
      <c r="C261" s="594"/>
      <c r="D261" s="594"/>
      <c r="E261" s="594"/>
      <c r="F261" s="594"/>
      <c r="G261" s="594"/>
      <c r="H261" s="594"/>
      <c r="I261" s="594"/>
      <c r="J261" s="1206"/>
      <c r="K261" s="1206"/>
      <c r="L261" s="1206"/>
      <c r="M261" s="1206"/>
      <c r="N261" s="1206"/>
      <c r="O261" s="594" t="s">
        <v>2609</v>
      </c>
      <c r="P261" s="587">
        <v>33380</v>
      </c>
      <c r="Q261" s="587">
        <v>33380</v>
      </c>
      <c r="R261" s="587">
        <f t="shared" si="8"/>
        <v>0</v>
      </c>
      <c r="S261" s="1215"/>
      <c r="T261" s="585"/>
      <c r="U261" s="585"/>
      <c r="V261" s="585"/>
    </row>
    <row r="262" spans="1:22" ht="15" customHeight="1">
      <c r="A262" s="1240"/>
      <c r="B262" s="594"/>
      <c r="C262" s="594"/>
      <c r="D262" s="594"/>
      <c r="E262" s="594"/>
      <c r="F262" s="594"/>
      <c r="G262" s="594"/>
      <c r="H262" s="594"/>
      <c r="I262" s="594"/>
      <c r="J262" s="1206"/>
      <c r="K262" s="1206"/>
      <c r="L262" s="1206"/>
      <c r="M262" s="1206"/>
      <c r="N262" s="1206"/>
      <c r="O262" s="594" t="s">
        <v>2739</v>
      </c>
      <c r="P262" s="587">
        <v>29934</v>
      </c>
      <c r="Q262" s="587">
        <v>29934</v>
      </c>
      <c r="R262" s="587">
        <f t="shared" si="8"/>
        <v>0</v>
      </c>
      <c r="S262" s="1215"/>
      <c r="T262" s="585"/>
      <c r="U262" s="585"/>
      <c r="V262" s="585"/>
    </row>
    <row r="263" spans="1:22" ht="15" customHeight="1">
      <c r="A263" s="1240"/>
      <c r="B263" s="594"/>
      <c r="C263" s="594"/>
      <c r="D263" s="594"/>
      <c r="E263" s="594"/>
      <c r="F263" s="594"/>
      <c r="G263" s="594"/>
      <c r="H263" s="594"/>
      <c r="I263" s="594"/>
      <c r="J263" s="1206"/>
      <c r="K263" s="1206"/>
      <c r="L263" s="1206"/>
      <c r="M263" s="1206"/>
      <c r="N263" s="1206"/>
      <c r="O263" s="594" t="s">
        <v>2749</v>
      </c>
      <c r="P263" s="587">
        <v>51906</v>
      </c>
      <c r="Q263" s="587">
        <v>51906</v>
      </c>
      <c r="R263" s="587">
        <f t="shared" si="8"/>
        <v>0</v>
      </c>
      <c r="S263" s="1215"/>
      <c r="T263" s="585"/>
      <c r="U263" s="585"/>
      <c r="V263" s="585"/>
    </row>
    <row r="264" spans="1:22" ht="15" customHeight="1">
      <c r="A264" s="1223"/>
      <c r="B264" s="594"/>
      <c r="C264" s="594"/>
      <c r="D264" s="594"/>
      <c r="E264" s="594"/>
      <c r="F264" s="594"/>
      <c r="G264" s="594"/>
      <c r="H264" s="594"/>
      <c r="I264" s="594"/>
      <c r="J264" s="1223"/>
      <c r="K264" s="1223"/>
      <c r="L264" s="1223"/>
      <c r="M264" s="1223"/>
      <c r="N264" s="1207"/>
      <c r="O264" s="594" t="s">
        <v>2752</v>
      </c>
      <c r="P264" s="587">
        <v>5100</v>
      </c>
      <c r="Q264" s="587">
        <v>5100</v>
      </c>
      <c r="R264" s="587">
        <f t="shared" si="8"/>
        <v>0</v>
      </c>
      <c r="S264" s="1215"/>
      <c r="T264" s="585"/>
      <c r="U264" s="585"/>
      <c r="V264" s="585"/>
    </row>
    <row r="265" spans="1:22" ht="15" customHeight="1">
      <c r="A265" s="1223"/>
      <c r="B265" s="594"/>
      <c r="C265" s="594"/>
      <c r="D265" s="594"/>
      <c r="E265" s="594"/>
      <c r="F265" s="594"/>
      <c r="G265" s="594"/>
      <c r="H265" s="594"/>
      <c r="I265" s="594"/>
      <c r="J265" s="1223"/>
      <c r="K265" s="1223"/>
      <c r="L265" s="1223"/>
      <c r="M265" s="1223"/>
      <c r="N265" s="1207"/>
      <c r="O265" s="594" t="s">
        <v>2761</v>
      </c>
      <c r="P265" s="587">
        <v>13392</v>
      </c>
      <c r="Q265" s="587">
        <v>13392</v>
      </c>
      <c r="R265" s="587">
        <f t="shared" si="8"/>
        <v>0</v>
      </c>
      <c r="S265" s="1215"/>
      <c r="T265" s="585"/>
      <c r="U265" s="585"/>
      <c r="V265" s="585"/>
    </row>
    <row r="266" spans="1:22" ht="15" customHeight="1">
      <c r="A266" s="1223"/>
      <c r="B266" s="594"/>
      <c r="C266" s="594"/>
      <c r="D266" s="594"/>
      <c r="E266" s="594"/>
      <c r="F266" s="594"/>
      <c r="G266" s="594"/>
      <c r="H266" s="594"/>
      <c r="I266" s="594"/>
      <c r="J266" s="1223"/>
      <c r="K266" s="1223"/>
      <c r="L266" s="1223"/>
      <c r="M266" s="1223"/>
      <c r="N266" s="1207"/>
      <c r="O266" s="594" t="s">
        <v>2764</v>
      </c>
      <c r="P266" s="587">
        <v>3510</v>
      </c>
      <c r="Q266" s="587">
        <v>3510</v>
      </c>
      <c r="R266" s="587">
        <f t="shared" si="8"/>
        <v>0</v>
      </c>
      <c r="S266" s="1215"/>
      <c r="T266" s="585"/>
      <c r="U266" s="585"/>
      <c r="V266" s="585"/>
    </row>
    <row r="267" spans="1:22" ht="15" customHeight="1">
      <c r="A267" s="1223"/>
      <c r="B267" s="594"/>
      <c r="C267" s="594"/>
      <c r="D267" s="594"/>
      <c r="E267" s="594"/>
      <c r="F267" s="594"/>
      <c r="G267" s="594"/>
      <c r="H267" s="594"/>
      <c r="I267" s="594"/>
      <c r="J267" s="1223"/>
      <c r="K267" s="1223"/>
      <c r="L267" s="1223"/>
      <c r="M267" s="1223"/>
      <c r="N267" s="1207"/>
      <c r="O267" s="594" t="s">
        <v>2765</v>
      </c>
      <c r="P267" s="587">
        <v>9680</v>
      </c>
      <c r="Q267" s="587">
        <v>9680</v>
      </c>
      <c r="R267" s="587">
        <f t="shared" si="8"/>
        <v>0</v>
      </c>
      <c r="S267" s="1215"/>
      <c r="T267" s="585"/>
      <c r="U267" s="585"/>
      <c r="V267" s="585"/>
    </row>
    <row r="268" spans="1:22" ht="15" customHeight="1">
      <c r="A268" s="1223"/>
      <c r="B268" s="594"/>
      <c r="C268" s="594"/>
      <c r="D268" s="594"/>
      <c r="E268" s="594"/>
      <c r="F268" s="594"/>
      <c r="G268" s="594"/>
      <c r="H268" s="594"/>
      <c r="I268" s="594"/>
      <c r="J268" s="1223"/>
      <c r="K268" s="1223"/>
      <c r="L268" s="1223"/>
      <c r="M268" s="1223"/>
      <c r="N268" s="1207"/>
      <c r="O268" s="594" t="s">
        <v>2768</v>
      </c>
      <c r="P268" s="587">
        <v>18600</v>
      </c>
      <c r="Q268" s="587">
        <v>18600</v>
      </c>
      <c r="R268" s="587">
        <f t="shared" si="8"/>
        <v>0</v>
      </c>
      <c r="S268" s="1215"/>
      <c r="T268" s="585"/>
      <c r="U268" s="585"/>
      <c r="V268" s="585"/>
    </row>
    <row r="269" spans="1:22" ht="15" customHeight="1">
      <c r="A269" s="1223"/>
      <c r="B269" s="594"/>
      <c r="C269" s="594"/>
      <c r="D269" s="594"/>
      <c r="E269" s="594"/>
      <c r="F269" s="594"/>
      <c r="G269" s="594"/>
      <c r="H269" s="594"/>
      <c r="I269" s="594"/>
      <c r="J269" s="1223"/>
      <c r="K269" s="1223"/>
      <c r="L269" s="1223"/>
      <c r="M269" s="1223"/>
      <c r="N269" s="1207"/>
      <c r="O269" s="594" t="s">
        <v>2775</v>
      </c>
      <c r="P269" s="587">
        <v>45120</v>
      </c>
      <c r="Q269" s="587">
        <v>45120</v>
      </c>
      <c r="R269" s="587">
        <f t="shared" si="8"/>
        <v>0</v>
      </c>
      <c r="S269" s="1215"/>
      <c r="T269" s="585"/>
      <c r="U269" s="585"/>
      <c r="V269" s="585"/>
    </row>
    <row r="270" spans="1:22" ht="15" customHeight="1">
      <c r="A270" s="1223"/>
      <c r="B270" s="594"/>
      <c r="C270" s="594"/>
      <c r="D270" s="594"/>
      <c r="E270" s="594"/>
      <c r="F270" s="594"/>
      <c r="G270" s="594"/>
      <c r="H270" s="594"/>
      <c r="I270" s="594"/>
      <c r="J270" s="1223"/>
      <c r="K270" s="1223"/>
      <c r="L270" s="1223"/>
      <c r="M270" s="1223"/>
      <c r="N270" s="1207"/>
      <c r="O270" s="594" t="s">
        <v>2781</v>
      </c>
      <c r="P270" s="587">
        <v>80520</v>
      </c>
      <c r="Q270" s="587">
        <v>80520</v>
      </c>
      <c r="R270" s="587">
        <f t="shared" si="8"/>
        <v>0</v>
      </c>
      <c r="S270" s="1215"/>
      <c r="T270" s="585"/>
      <c r="U270" s="585"/>
      <c r="V270" s="585"/>
    </row>
    <row r="271" spans="1:22" ht="15" customHeight="1">
      <c r="A271" s="1223"/>
      <c r="B271" s="594"/>
      <c r="C271" s="594"/>
      <c r="D271" s="594"/>
      <c r="E271" s="594"/>
      <c r="F271" s="594"/>
      <c r="G271" s="594"/>
      <c r="H271" s="594"/>
      <c r="I271" s="594"/>
      <c r="J271" s="1223"/>
      <c r="K271" s="1223"/>
      <c r="L271" s="1223"/>
      <c r="M271" s="1223"/>
      <c r="N271" s="1207"/>
      <c r="O271" s="594" t="s">
        <v>2784</v>
      </c>
      <c r="P271" s="587">
        <v>16410</v>
      </c>
      <c r="Q271" s="587">
        <v>16410</v>
      </c>
      <c r="R271" s="587">
        <f t="shared" si="8"/>
        <v>0</v>
      </c>
      <c r="S271" s="1215"/>
      <c r="T271" s="585"/>
      <c r="U271" s="585"/>
      <c r="V271" s="585"/>
    </row>
    <row r="272" spans="1:22" ht="15" customHeight="1">
      <c r="A272" s="1223"/>
      <c r="B272" s="594"/>
      <c r="C272" s="594"/>
      <c r="D272" s="594"/>
      <c r="E272" s="594"/>
      <c r="F272" s="594"/>
      <c r="G272" s="594"/>
      <c r="H272" s="594"/>
      <c r="I272" s="594"/>
      <c r="J272" s="1223"/>
      <c r="K272" s="1223"/>
      <c r="L272" s="1223"/>
      <c r="M272" s="1223"/>
      <c r="N272" s="1206" t="s">
        <v>2785</v>
      </c>
      <c r="O272" s="594" t="s">
        <v>2614</v>
      </c>
      <c r="P272" s="587">
        <v>24400</v>
      </c>
      <c r="Q272" s="587">
        <v>24400</v>
      </c>
      <c r="R272" s="587">
        <f t="shared" si="8"/>
        <v>0</v>
      </c>
      <c r="S272" s="1215"/>
      <c r="T272" s="585"/>
      <c r="U272" s="585"/>
      <c r="V272" s="585"/>
    </row>
    <row r="273" spans="1:22" ht="15" customHeight="1">
      <c r="A273" s="1223"/>
      <c r="B273" s="594"/>
      <c r="C273" s="594"/>
      <c r="D273" s="594"/>
      <c r="E273" s="594"/>
      <c r="F273" s="594"/>
      <c r="G273" s="594"/>
      <c r="H273" s="594"/>
      <c r="I273" s="594"/>
      <c r="J273" s="1223"/>
      <c r="K273" s="1223"/>
      <c r="L273" s="1223"/>
      <c r="M273" s="1223"/>
      <c r="N273" s="1206"/>
      <c r="O273" s="594" t="s">
        <v>2615</v>
      </c>
      <c r="P273" s="587">
        <v>43310</v>
      </c>
      <c r="Q273" s="587">
        <v>43310</v>
      </c>
      <c r="R273" s="587">
        <f t="shared" si="8"/>
        <v>0</v>
      </c>
      <c r="S273" s="1215"/>
      <c r="T273" s="585"/>
      <c r="U273" s="585"/>
      <c r="V273" s="585"/>
    </row>
    <row r="274" spans="1:22" ht="15" customHeight="1">
      <c r="A274" s="1223"/>
      <c r="B274" s="594"/>
      <c r="C274" s="594"/>
      <c r="D274" s="594"/>
      <c r="E274" s="594"/>
      <c r="F274" s="594"/>
      <c r="G274" s="594"/>
      <c r="H274" s="594"/>
      <c r="I274" s="594"/>
      <c r="J274" s="1223"/>
      <c r="K274" s="1223"/>
      <c r="L274" s="1223"/>
      <c r="M274" s="1223"/>
      <c r="N274" s="1206"/>
      <c r="O274" s="594" t="s">
        <v>2806</v>
      </c>
      <c r="P274" s="587">
        <v>6435</v>
      </c>
      <c r="Q274" s="587">
        <v>6435</v>
      </c>
      <c r="R274" s="587">
        <f t="shared" si="8"/>
        <v>0</v>
      </c>
      <c r="S274" s="1215"/>
      <c r="T274" s="585"/>
      <c r="U274" s="585"/>
      <c r="V274" s="585"/>
    </row>
    <row r="275" spans="1:22" ht="15" customHeight="1">
      <c r="A275" s="1223"/>
      <c r="B275" s="594"/>
      <c r="C275" s="594"/>
      <c r="D275" s="594"/>
      <c r="E275" s="594"/>
      <c r="F275" s="594"/>
      <c r="G275" s="594"/>
      <c r="H275" s="594"/>
      <c r="I275" s="594"/>
      <c r="J275" s="1223"/>
      <c r="K275" s="1223"/>
      <c r="L275" s="1223"/>
      <c r="M275" s="1223"/>
      <c r="N275" s="1206"/>
      <c r="O275" s="594" t="s">
        <v>2807</v>
      </c>
      <c r="P275" s="587">
        <v>19071</v>
      </c>
      <c r="Q275" s="587">
        <v>19071</v>
      </c>
      <c r="R275" s="587">
        <f t="shared" si="8"/>
        <v>0</v>
      </c>
      <c r="S275" s="1215"/>
      <c r="T275" s="585"/>
      <c r="U275" s="585"/>
      <c r="V275" s="585"/>
    </row>
    <row r="276" spans="1:22" ht="15" customHeight="1">
      <c r="A276" s="1223"/>
      <c r="B276" s="594"/>
      <c r="C276" s="594"/>
      <c r="D276" s="594"/>
      <c r="E276" s="594"/>
      <c r="F276" s="594"/>
      <c r="G276" s="594"/>
      <c r="H276" s="594"/>
      <c r="I276" s="594"/>
      <c r="J276" s="1223"/>
      <c r="K276" s="1223"/>
      <c r="L276" s="1223"/>
      <c r="M276" s="1223"/>
      <c r="N276" s="1206"/>
      <c r="O276" s="594" t="s">
        <v>2813</v>
      </c>
      <c r="P276" s="587">
        <v>19370</v>
      </c>
      <c r="Q276" s="587">
        <v>19370</v>
      </c>
      <c r="R276" s="587">
        <f t="shared" si="8"/>
        <v>0</v>
      </c>
      <c r="S276" s="1247"/>
      <c r="T276" s="585"/>
      <c r="U276" s="585"/>
      <c r="V276" s="585"/>
    </row>
    <row r="277" spans="1:22" ht="15" customHeight="1">
      <c r="A277" s="1240" t="s">
        <v>1544</v>
      </c>
      <c r="B277" s="594"/>
      <c r="C277" s="594"/>
      <c r="D277" s="594"/>
      <c r="E277" s="594"/>
      <c r="F277" s="594"/>
      <c r="G277" s="594"/>
      <c r="H277" s="594"/>
      <c r="I277" s="594"/>
      <c r="J277" s="1206" t="s">
        <v>3582</v>
      </c>
      <c r="K277" s="1206" t="s">
        <v>1301</v>
      </c>
      <c r="L277" s="1200" t="s">
        <v>1572</v>
      </c>
      <c r="M277" s="1206" t="s">
        <v>3624</v>
      </c>
      <c r="N277" s="1206" t="s">
        <v>2785</v>
      </c>
      <c r="O277" s="594" t="s">
        <v>2814</v>
      </c>
      <c r="P277" s="587">
        <v>15750</v>
      </c>
      <c r="Q277" s="587">
        <v>15750</v>
      </c>
      <c r="R277" s="587">
        <f t="shared" si="8"/>
        <v>0</v>
      </c>
      <c r="S277" s="1246" t="s">
        <v>3693</v>
      </c>
      <c r="T277" s="585"/>
      <c r="U277" s="585"/>
      <c r="V277" s="585"/>
    </row>
    <row r="278" spans="1:22" ht="15" customHeight="1">
      <c r="A278" s="1223"/>
      <c r="B278" s="594"/>
      <c r="C278" s="594"/>
      <c r="D278" s="594"/>
      <c r="E278" s="594"/>
      <c r="F278" s="594"/>
      <c r="G278" s="594"/>
      <c r="H278" s="594"/>
      <c r="I278" s="594"/>
      <c r="J278" s="1223"/>
      <c r="K278" s="1223"/>
      <c r="L278" s="1223"/>
      <c r="M278" s="1223"/>
      <c r="N278" s="1206"/>
      <c r="O278" s="594" t="s">
        <v>2688</v>
      </c>
      <c r="P278" s="587">
        <v>4890</v>
      </c>
      <c r="Q278" s="587">
        <v>4890</v>
      </c>
      <c r="R278" s="587">
        <f t="shared" si="8"/>
        <v>0</v>
      </c>
      <c r="S278" s="1215"/>
      <c r="T278" s="585"/>
      <c r="U278" s="585"/>
      <c r="V278" s="585"/>
    </row>
    <row r="279" spans="1:22" ht="15" customHeight="1">
      <c r="A279" s="1223"/>
      <c r="B279" s="594"/>
      <c r="C279" s="594"/>
      <c r="D279" s="594"/>
      <c r="E279" s="594"/>
      <c r="F279" s="594"/>
      <c r="G279" s="594"/>
      <c r="H279" s="594"/>
      <c r="I279" s="594"/>
      <c r="J279" s="1223"/>
      <c r="K279" s="1223"/>
      <c r="L279" s="1223"/>
      <c r="M279" s="1223"/>
      <c r="N279" s="1206"/>
      <c r="O279" s="594" t="s">
        <v>2833</v>
      </c>
      <c r="P279" s="587">
        <v>24360</v>
      </c>
      <c r="Q279" s="587">
        <v>24360</v>
      </c>
      <c r="R279" s="587">
        <f t="shared" si="8"/>
        <v>0</v>
      </c>
      <c r="S279" s="1215"/>
      <c r="T279" s="585"/>
      <c r="U279" s="585"/>
      <c r="V279" s="585"/>
    </row>
    <row r="280" spans="1:22" ht="15" customHeight="1">
      <c r="A280" s="1223"/>
      <c r="B280" s="594"/>
      <c r="C280" s="594"/>
      <c r="D280" s="594"/>
      <c r="E280" s="594"/>
      <c r="F280" s="594"/>
      <c r="G280" s="594"/>
      <c r="H280" s="594"/>
      <c r="I280" s="594"/>
      <c r="J280" s="1223"/>
      <c r="K280" s="1223"/>
      <c r="L280" s="1223"/>
      <c r="M280" s="1223"/>
      <c r="N280" s="1206"/>
      <c r="O280" s="594" t="s">
        <v>2848</v>
      </c>
      <c r="P280" s="587">
        <v>19188</v>
      </c>
      <c r="Q280" s="587">
        <v>19188</v>
      </c>
      <c r="R280" s="587">
        <f t="shared" si="8"/>
        <v>0</v>
      </c>
      <c r="S280" s="1215"/>
      <c r="T280" s="585"/>
      <c r="U280" s="585"/>
      <c r="V280" s="585"/>
    </row>
    <row r="281" spans="1:22" ht="15" customHeight="1">
      <c r="A281" s="1223"/>
      <c r="B281" s="594"/>
      <c r="C281" s="594"/>
      <c r="D281" s="594"/>
      <c r="E281" s="594"/>
      <c r="F281" s="594"/>
      <c r="G281" s="594"/>
      <c r="H281" s="594"/>
      <c r="I281" s="594"/>
      <c r="J281" s="1223"/>
      <c r="K281" s="1223"/>
      <c r="L281" s="1223"/>
      <c r="M281" s="1223"/>
      <c r="N281" s="594" t="s">
        <v>2853</v>
      </c>
      <c r="O281" s="594" t="s">
        <v>2857</v>
      </c>
      <c r="P281" s="587">
        <v>23440</v>
      </c>
      <c r="Q281" s="587">
        <v>23440</v>
      </c>
      <c r="R281" s="587">
        <f t="shared" si="8"/>
        <v>0</v>
      </c>
      <c r="S281" s="1215"/>
      <c r="T281" s="585"/>
      <c r="U281" s="585"/>
      <c r="V281" s="585"/>
    </row>
    <row r="282" spans="1:22" ht="15" customHeight="1">
      <c r="A282" s="1223"/>
      <c r="B282" s="594"/>
      <c r="C282" s="594"/>
      <c r="D282" s="594"/>
      <c r="E282" s="594"/>
      <c r="F282" s="594"/>
      <c r="G282" s="594"/>
      <c r="H282" s="594"/>
      <c r="I282" s="594"/>
      <c r="J282" s="1223"/>
      <c r="K282" s="1223"/>
      <c r="L282" s="1223"/>
      <c r="M282" s="1223"/>
      <c r="N282" s="1206" t="s">
        <v>2870</v>
      </c>
      <c r="O282" s="594" t="s">
        <v>2873</v>
      </c>
      <c r="P282" s="587">
        <v>64184</v>
      </c>
      <c r="Q282" s="587">
        <v>64184</v>
      </c>
      <c r="R282" s="587">
        <f t="shared" si="8"/>
        <v>0</v>
      </c>
      <c r="S282" s="1215"/>
      <c r="T282" s="585"/>
      <c r="U282" s="585"/>
      <c r="V282" s="585"/>
    </row>
    <row r="283" spans="1:22" ht="15" customHeight="1">
      <c r="A283" s="1223"/>
      <c r="B283" s="594"/>
      <c r="C283" s="594"/>
      <c r="D283" s="594"/>
      <c r="E283" s="594"/>
      <c r="F283" s="594"/>
      <c r="G283" s="594"/>
      <c r="H283" s="594"/>
      <c r="I283" s="594"/>
      <c r="J283" s="1223"/>
      <c r="K283" s="1223"/>
      <c r="L283" s="1223"/>
      <c r="M283" s="1223"/>
      <c r="N283" s="1206"/>
      <c r="O283" s="594" t="s">
        <v>2893</v>
      </c>
      <c r="P283" s="587">
        <v>23560</v>
      </c>
      <c r="Q283" s="587">
        <v>23560</v>
      </c>
      <c r="R283" s="587">
        <f t="shared" si="8"/>
        <v>0</v>
      </c>
      <c r="S283" s="1215"/>
      <c r="T283" s="585"/>
      <c r="U283" s="585"/>
      <c r="V283" s="585"/>
    </row>
    <row r="284" spans="1:22" ht="15" customHeight="1">
      <c r="A284" s="1223"/>
      <c r="B284" s="594"/>
      <c r="C284" s="594"/>
      <c r="D284" s="594"/>
      <c r="E284" s="594"/>
      <c r="F284" s="594"/>
      <c r="G284" s="594"/>
      <c r="H284" s="594"/>
      <c r="I284" s="594"/>
      <c r="J284" s="1223"/>
      <c r="K284" s="1223"/>
      <c r="L284" s="1223"/>
      <c r="M284" s="1223"/>
      <c r="N284" s="1206"/>
      <c r="O284" s="594" t="s">
        <v>2899</v>
      </c>
      <c r="P284" s="587">
        <v>4950</v>
      </c>
      <c r="Q284" s="587">
        <v>4950</v>
      </c>
      <c r="R284" s="587">
        <f t="shared" si="8"/>
        <v>0</v>
      </c>
      <c r="S284" s="1215"/>
      <c r="T284" s="585"/>
      <c r="U284" s="585"/>
      <c r="V284" s="585"/>
    </row>
    <row r="285" spans="1:22" ht="15" customHeight="1">
      <c r="A285" s="1223"/>
      <c r="B285" s="594"/>
      <c r="C285" s="594"/>
      <c r="D285" s="594"/>
      <c r="E285" s="594"/>
      <c r="F285" s="594"/>
      <c r="G285" s="594"/>
      <c r="H285" s="594"/>
      <c r="I285" s="594"/>
      <c r="J285" s="1223"/>
      <c r="K285" s="1223"/>
      <c r="L285" s="1223"/>
      <c r="M285" s="1223"/>
      <c r="N285" s="1206"/>
      <c r="O285" s="594" t="s">
        <v>2900</v>
      </c>
      <c r="P285" s="587">
        <v>6630</v>
      </c>
      <c r="Q285" s="587">
        <v>6630</v>
      </c>
      <c r="R285" s="587">
        <f t="shared" si="8"/>
        <v>0</v>
      </c>
      <c r="S285" s="1215"/>
      <c r="T285" s="585"/>
      <c r="U285" s="585"/>
      <c r="V285" s="585"/>
    </row>
    <row r="286" spans="1:22" ht="15" customHeight="1">
      <c r="A286" s="1223"/>
      <c r="B286" s="594"/>
      <c r="C286" s="594"/>
      <c r="D286" s="594"/>
      <c r="E286" s="594"/>
      <c r="F286" s="594"/>
      <c r="G286" s="594"/>
      <c r="H286" s="594"/>
      <c r="I286" s="594"/>
      <c r="J286" s="1223"/>
      <c r="K286" s="1223"/>
      <c r="L286" s="1223"/>
      <c r="M286" s="1223"/>
      <c r="N286" s="1206"/>
      <c r="O286" s="594" t="s">
        <v>2901</v>
      </c>
      <c r="P286" s="587">
        <v>7240</v>
      </c>
      <c r="Q286" s="587">
        <v>7240</v>
      </c>
      <c r="R286" s="587">
        <f t="shared" si="8"/>
        <v>0</v>
      </c>
      <c r="S286" s="1215"/>
      <c r="T286" s="585"/>
      <c r="U286" s="585"/>
      <c r="V286" s="585"/>
    </row>
    <row r="287" spans="1:22" ht="15" customHeight="1">
      <c r="A287" s="1223"/>
      <c r="B287" s="594"/>
      <c r="C287" s="594"/>
      <c r="D287" s="594"/>
      <c r="E287" s="594"/>
      <c r="F287" s="594"/>
      <c r="G287" s="594"/>
      <c r="H287" s="594"/>
      <c r="I287" s="594"/>
      <c r="J287" s="1223"/>
      <c r="K287" s="1223"/>
      <c r="L287" s="1223"/>
      <c r="M287" s="1223"/>
      <c r="N287" s="1206"/>
      <c r="O287" s="594" t="s">
        <v>2902</v>
      </c>
      <c r="P287" s="587">
        <v>23210</v>
      </c>
      <c r="Q287" s="587">
        <v>23210</v>
      </c>
      <c r="R287" s="587">
        <f t="shared" si="8"/>
        <v>0</v>
      </c>
      <c r="S287" s="1215"/>
      <c r="T287" s="585"/>
      <c r="U287" s="585"/>
      <c r="V287" s="585"/>
    </row>
    <row r="288" spans="1:22" ht="15" customHeight="1">
      <c r="A288" s="1223"/>
      <c r="B288" s="594"/>
      <c r="C288" s="594"/>
      <c r="D288" s="594"/>
      <c r="E288" s="594"/>
      <c r="F288" s="594"/>
      <c r="G288" s="594"/>
      <c r="H288" s="594"/>
      <c r="I288" s="594"/>
      <c r="J288" s="1223"/>
      <c r="K288" s="1223"/>
      <c r="L288" s="1223"/>
      <c r="M288" s="1223"/>
      <c r="N288" s="1206"/>
      <c r="O288" s="594" t="s">
        <v>2903</v>
      </c>
      <c r="P288" s="587">
        <v>56620</v>
      </c>
      <c r="Q288" s="587">
        <v>56620</v>
      </c>
      <c r="R288" s="587">
        <f t="shared" si="8"/>
        <v>0</v>
      </c>
      <c r="S288" s="1215"/>
      <c r="T288" s="585"/>
      <c r="U288" s="585"/>
      <c r="V288" s="585"/>
    </row>
    <row r="289" spans="1:22" ht="15" customHeight="1">
      <c r="A289" s="1223"/>
      <c r="B289" s="594"/>
      <c r="C289" s="594"/>
      <c r="D289" s="594"/>
      <c r="E289" s="594"/>
      <c r="F289" s="594"/>
      <c r="G289" s="594"/>
      <c r="H289" s="594"/>
      <c r="I289" s="594"/>
      <c r="J289" s="1223"/>
      <c r="K289" s="1223"/>
      <c r="L289" s="1223"/>
      <c r="M289" s="1223"/>
      <c r="N289" s="1206"/>
      <c r="O289" s="594" t="s">
        <v>2905</v>
      </c>
      <c r="P289" s="587">
        <v>19320</v>
      </c>
      <c r="Q289" s="587">
        <v>19320</v>
      </c>
      <c r="R289" s="587">
        <f t="shared" si="8"/>
        <v>0</v>
      </c>
      <c r="S289" s="1215"/>
      <c r="T289" s="585"/>
      <c r="U289" s="585"/>
      <c r="V289" s="585"/>
    </row>
    <row r="290" spans="1:22" ht="15" customHeight="1">
      <c r="A290" s="1223"/>
      <c r="B290" s="594"/>
      <c r="C290" s="594"/>
      <c r="D290" s="594"/>
      <c r="E290" s="594"/>
      <c r="F290" s="594"/>
      <c r="G290" s="594"/>
      <c r="H290" s="594"/>
      <c r="I290" s="594"/>
      <c r="J290" s="1223"/>
      <c r="K290" s="1223"/>
      <c r="L290" s="1223"/>
      <c r="M290" s="1223"/>
      <c r="N290" s="1206"/>
      <c r="O290" s="594" t="s">
        <v>2909</v>
      </c>
      <c r="P290" s="587">
        <v>27300</v>
      </c>
      <c r="Q290" s="587">
        <v>27300</v>
      </c>
      <c r="R290" s="587">
        <f t="shared" si="8"/>
        <v>0</v>
      </c>
      <c r="S290" s="1215"/>
      <c r="T290" s="585"/>
      <c r="U290" s="585"/>
      <c r="V290" s="585"/>
    </row>
    <row r="291" spans="1:22" ht="15" customHeight="1">
      <c r="A291" s="1223"/>
      <c r="B291" s="594"/>
      <c r="C291" s="594"/>
      <c r="D291" s="594"/>
      <c r="E291" s="594"/>
      <c r="F291" s="594"/>
      <c r="G291" s="594"/>
      <c r="H291" s="594"/>
      <c r="I291" s="594"/>
      <c r="J291" s="1223"/>
      <c r="K291" s="1223"/>
      <c r="L291" s="1223"/>
      <c r="M291" s="1223"/>
      <c r="N291" s="1206"/>
      <c r="O291" s="594" t="s">
        <v>2910</v>
      </c>
      <c r="P291" s="587">
        <v>27240</v>
      </c>
      <c r="Q291" s="587">
        <v>27240</v>
      </c>
      <c r="R291" s="587">
        <f t="shared" si="8"/>
        <v>0</v>
      </c>
      <c r="S291" s="1215"/>
      <c r="T291" s="585"/>
      <c r="U291" s="585"/>
      <c r="V291" s="585"/>
    </row>
    <row r="292" spans="1:22" ht="15" customHeight="1">
      <c r="A292" s="1223"/>
      <c r="B292" s="594"/>
      <c r="C292" s="594"/>
      <c r="D292" s="594"/>
      <c r="E292" s="594"/>
      <c r="F292" s="594"/>
      <c r="G292" s="594"/>
      <c r="H292" s="594"/>
      <c r="I292" s="594"/>
      <c r="J292" s="1223"/>
      <c r="K292" s="1223"/>
      <c r="L292" s="1223"/>
      <c r="M292" s="1223"/>
      <c r="N292" s="1206"/>
      <c r="O292" s="594" t="s">
        <v>2624</v>
      </c>
      <c r="P292" s="587">
        <v>17600</v>
      </c>
      <c r="Q292" s="587">
        <v>17600</v>
      </c>
      <c r="R292" s="587">
        <f t="shared" si="8"/>
        <v>0</v>
      </c>
      <c r="S292" s="1215"/>
      <c r="T292" s="585"/>
      <c r="U292" s="585"/>
      <c r="V292" s="585"/>
    </row>
    <row r="293" spans="1:22" ht="15" customHeight="1">
      <c r="A293" s="1223"/>
      <c r="B293" s="594"/>
      <c r="C293" s="594"/>
      <c r="D293" s="594"/>
      <c r="E293" s="594"/>
      <c r="F293" s="594"/>
      <c r="G293" s="594"/>
      <c r="H293" s="594"/>
      <c r="I293" s="594"/>
      <c r="J293" s="1223"/>
      <c r="K293" s="1223"/>
      <c r="L293" s="1223"/>
      <c r="M293" s="1223"/>
      <c r="N293" s="1206"/>
      <c r="O293" s="594" t="s">
        <v>2916</v>
      </c>
      <c r="P293" s="587">
        <v>2760</v>
      </c>
      <c r="Q293" s="587">
        <v>2760</v>
      </c>
      <c r="R293" s="587">
        <f t="shared" si="8"/>
        <v>0</v>
      </c>
      <c r="S293" s="1215"/>
      <c r="T293" s="585"/>
      <c r="U293" s="585"/>
      <c r="V293" s="585"/>
    </row>
    <row r="294" spans="1:22" ht="15" customHeight="1">
      <c r="A294" s="1223"/>
      <c r="B294" s="594"/>
      <c r="C294" s="594"/>
      <c r="D294" s="594"/>
      <c r="E294" s="594"/>
      <c r="F294" s="594"/>
      <c r="G294" s="594"/>
      <c r="H294" s="594"/>
      <c r="I294" s="594"/>
      <c r="J294" s="1223"/>
      <c r="K294" s="1223"/>
      <c r="L294" s="1223"/>
      <c r="M294" s="1223"/>
      <c r="N294" s="1206"/>
      <c r="O294" s="594" t="s">
        <v>2918</v>
      </c>
      <c r="P294" s="587">
        <v>25686</v>
      </c>
      <c r="Q294" s="587">
        <v>25686</v>
      </c>
      <c r="R294" s="587">
        <f t="shared" si="8"/>
        <v>0</v>
      </c>
      <c r="S294" s="1215"/>
      <c r="T294" s="585"/>
      <c r="U294" s="585"/>
      <c r="V294" s="585"/>
    </row>
    <row r="295" spans="1:22" ht="15" customHeight="1">
      <c r="A295" s="1223"/>
      <c r="B295" s="594"/>
      <c r="C295" s="594"/>
      <c r="D295" s="594"/>
      <c r="E295" s="594"/>
      <c r="F295" s="594"/>
      <c r="G295" s="594"/>
      <c r="H295" s="594"/>
      <c r="I295" s="594"/>
      <c r="J295" s="1223"/>
      <c r="K295" s="1223"/>
      <c r="L295" s="1223"/>
      <c r="M295" s="1223"/>
      <c r="N295" s="1207"/>
      <c r="O295" s="594" t="s">
        <v>2919</v>
      </c>
      <c r="P295" s="587">
        <v>5800</v>
      </c>
      <c r="Q295" s="587">
        <v>5800</v>
      </c>
      <c r="R295" s="587">
        <f t="shared" si="8"/>
        <v>0</v>
      </c>
      <c r="S295" s="1215"/>
      <c r="T295" s="585"/>
      <c r="U295" s="585"/>
      <c r="V295" s="585"/>
    </row>
    <row r="296" spans="1:22" ht="15" customHeight="1">
      <c r="A296" s="1223"/>
      <c r="B296" s="594"/>
      <c r="C296" s="594"/>
      <c r="D296" s="594"/>
      <c r="E296" s="594"/>
      <c r="F296" s="594"/>
      <c r="G296" s="594"/>
      <c r="H296" s="594"/>
      <c r="I296" s="594"/>
      <c r="J296" s="1223"/>
      <c r="K296" s="1223"/>
      <c r="L296" s="1223"/>
      <c r="M296" s="1223"/>
      <c r="N296" s="1207"/>
      <c r="O296" s="594" t="s">
        <v>2921</v>
      </c>
      <c r="P296" s="587">
        <v>17500</v>
      </c>
      <c r="Q296" s="587">
        <v>17500</v>
      </c>
      <c r="R296" s="587">
        <f t="shared" si="8"/>
        <v>0</v>
      </c>
      <c r="S296" s="1215"/>
      <c r="T296" s="585"/>
      <c r="U296" s="585"/>
      <c r="V296" s="585"/>
    </row>
    <row r="297" spans="1:22" ht="15" customHeight="1">
      <c r="A297" s="1223"/>
      <c r="B297" s="594"/>
      <c r="C297" s="594"/>
      <c r="D297" s="594"/>
      <c r="E297" s="594"/>
      <c r="F297" s="594"/>
      <c r="G297" s="594"/>
      <c r="H297" s="594"/>
      <c r="I297" s="594"/>
      <c r="J297" s="1223"/>
      <c r="K297" s="1223"/>
      <c r="L297" s="1223"/>
      <c r="M297" s="1223"/>
      <c r="N297" s="1207"/>
      <c r="O297" s="594" t="s">
        <v>2922</v>
      </c>
      <c r="P297" s="587">
        <v>42400</v>
      </c>
      <c r="Q297" s="587">
        <v>42400</v>
      </c>
      <c r="R297" s="587">
        <f t="shared" si="8"/>
        <v>0</v>
      </c>
      <c r="S297" s="1215"/>
      <c r="T297" s="585"/>
      <c r="U297" s="585"/>
      <c r="V297" s="585"/>
    </row>
    <row r="298" spans="1:22" ht="15" customHeight="1">
      <c r="A298" s="1223"/>
      <c r="B298" s="594"/>
      <c r="C298" s="594"/>
      <c r="D298" s="594"/>
      <c r="E298" s="594"/>
      <c r="F298" s="594"/>
      <c r="G298" s="594"/>
      <c r="H298" s="594"/>
      <c r="I298" s="594"/>
      <c r="J298" s="1223"/>
      <c r="K298" s="1223"/>
      <c r="L298" s="1223"/>
      <c r="M298" s="1223"/>
      <c r="N298" s="1207"/>
      <c r="O298" s="594" t="s">
        <v>2929</v>
      </c>
      <c r="P298" s="587">
        <v>38790</v>
      </c>
      <c r="Q298" s="587">
        <v>38790</v>
      </c>
      <c r="R298" s="587">
        <f t="shared" si="8"/>
        <v>0</v>
      </c>
      <c r="S298" s="1215"/>
      <c r="T298" s="585"/>
      <c r="U298" s="585"/>
      <c r="V298" s="585"/>
    </row>
    <row r="299" spans="1:22" ht="15" customHeight="1">
      <c r="A299" s="1223"/>
      <c r="B299" s="594"/>
      <c r="C299" s="594"/>
      <c r="D299" s="594"/>
      <c r="E299" s="594"/>
      <c r="F299" s="594"/>
      <c r="G299" s="594"/>
      <c r="H299" s="594"/>
      <c r="I299" s="594"/>
      <c r="J299" s="1223"/>
      <c r="K299" s="1223"/>
      <c r="L299" s="1223"/>
      <c r="M299" s="1223"/>
      <c r="N299" s="1207"/>
      <c r="O299" s="594" t="s">
        <v>2930</v>
      </c>
      <c r="P299" s="587">
        <v>35100</v>
      </c>
      <c r="Q299" s="587">
        <v>35100</v>
      </c>
      <c r="R299" s="587">
        <f t="shared" si="8"/>
        <v>0</v>
      </c>
      <c r="S299" s="1215"/>
      <c r="T299" s="585"/>
      <c r="U299" s="585"/>
      <c r="V299" s="585"/>
    </row>
    <row r="300" spans="1:22" ht="15" customHeight="1">
      <c r="A300" s="1223"/>
      <c r="B300" s="594"/>
      <c r="C300" s="594"/>
      <c r="D300" s="594"/>
      <c r="E300" s="594"/>
      <c r="F300" s="594"/>
      <c r="G300" s="594"/>
      <c r="H300" s="594"/>
      <c r="I300" s="594"/>
      <c r="J300" s="1223"/>
      <c r="K300" s="1223"/>
      <c r="L300" s="1223"/>
      <c r="M300" s="1223"/>
      <c r="N300" s="1207"/>
      <c r="O300" s="594" t="s">
        <v>2932</v>
      </c>
      <c r="P300" s="587">
        <v>65530</v>
      </c>
      <c r="Q300" s="587">
        <v>65530</v>
      </c>
      <c r="R300" s="587">
        <f t="shared" si="8"/>
        <v>0</v>
      </c>
      <c r="S300" s="1215"/>
      <c r="T300" s="585"/>
      <c r="U300" s="585"/>
      <c r="V300" s="585"/>
    </row>
    <row r="301" spans="1:22" ht="15" customHeight="1">
      <c r="A301" s="1223"/>
      <c r="B301" s="594"/>
      <c r="C301" s="594"/>
      <c r="D301" s="594"/>
      <c r="E301" s="594"/>
      <c r="F301" s="594"/>
      <c r="G301" s="594"/>
      <c r="H301" s="594"/>
      <c r="I301" s="594"/>
      <c r="J301" s="1223"/>
      <c r="K301" s="1223"/>
      <c r="L301" s="1223"/>
      <c r="M301" s="1223"/>
      <c r="N301" s="1207"/>
      <c r="O301" s="594" t="s">
        <v>2934</v>
      </c>
      <c r="P301" s="587">
        <v>80884</v>
      </c>
      <c r="Q301" s="587">
        <v>80884</v>
      </c>
      <c r="R301" s="587">
        <f t="shared" si="8"/>
        <v>0</v>
      </c>
      <c r="S301" s="1215"/>
      <c r="T301" s="585"/>
      <c r="U301" s="585"/>
      <c r="V301" s="585"/>
    </row>
    <row r="302" spans="1:22" ht="15" customHeight="1">
      <c r="A302" s="1223"/>
      <c r="B302" s="594"/>
      <c r="C302" s="594"/>
      <c r="D302" s="594"/>
      <c r="E302" s="594"/>
      <c r="F302" s="594"/>
      <c r="G302" s="594"/>
      <c r="H302" s="594"/>
      <c r="I302" s="594"/>
      <c r="J302" s="1223"/>
      <c r="K302" s="1223"/>
      <c r="L302" s="1223"/>
      <c r="M302" s="1223"/>
      <c r="N302" s="1207"/>
      <c r="O302" s="594" t="s">
        <v>2935</v>
      </c>
      <c r="P302" s="587">
        <v>6000</v>
      </c>
      <c r="Q302" s="587">
        <v>6000</v>
      </c>
      <c r="R302" s="587">
        <f t="shared" si="8"/>
        <v>0</v>
      </c>
      <c r="S302" s="1215"/>
      <c r="T302" s="585"/>
      <c r="U302" s="585"/>
      <c r="V302" s="585"/>
    </row>
    <row r="303" spans="1:22" ht="15" customHeight="1">
      <c r="A303" s="1223"/>
      <c r="B303" s="594"/>
      <c r="C303" s="594"/>
      <c r="D303" s="594"/>
      <c r="E303" s="594"/>
      <c r="F303" s="594"/>
      <c r="G303" s="594"/>
      <c r="H303" s="594"/>
      <c r="I303" s="594"/>
      <c r="J303" s="1223"/>
      <c r="K303" s="1223"/>
      <c r="L303" s="1223"/>
      <c r="M303" s="1223"/>
      <c r="N303" s="1207"/>
      <c r="O303" s="594" t="s">
        <v>2936</v>
      </c>
      <c r="P303" s="587">
        <v>24050</v>
      </c>
      <c r="Q303" s="587">
        <v>24050</v>
      </c>
      <c r="R303" s="587">
        <f t="shared" si="8"/>
        <v>0</v>
      </c>
      <c r="S303" s="1215"/>
      <c r="T303" s="585"/>
      <c r="U303" s="585"/>
      <c r="V303" s="585"/>
    </row>
    <row r="304" spans="1:22" ht="15" customHeight="1">
      <c r="A304" s="1223"/>
      <c r="B304" s="594"/>
      <c r="C304" s="594"/>
      <c r="D304" s="594"/>
      <c r="E304" s="594"/>
      <c r="F304" s="594"/>
      <c r="G304" s="594"/>
      <c r="H304" s="594"/>
      <c r="I304" s="594"/>
      <c r="J304" s="1223"/>
      <c r="K304" s="1223"/>
      <c r="L304" s="1223"/>
      <c r="M304" s="1223"/>
      <c r="N304" s="1207"/>
      <c r="O304" s="594" t="s">
        <v>2940</v>
      </c>
      <c r="P304" s="587">
        <v>36000</v>
      </c>
      <c r="Q304" s="587">
        <v>36000</v>
      </c>
      <c r="R304" s="587">
        <f t="shared" si="8"/>
        <v>0</v>
      </c>
      <c r="S304" s="1215"/>
      <c r="T304" s="585"/>
      <c r="U304" s="585"/>
      <c r="V304" s="585"/>
    </row>
    <row r="305" spans="1:22" ht="15" customHeight="1">
      <c r="A305" s="1223"/>
      <c r="B305" s="594"/>
      <c r="C305" s="594"/>
      <c r="D305" s="594"/>
      <c r="E305" s="594"/>
      <c r="F305" s="594"/>
      <c r="G305" s="594"/>
      <c r="H305" s="594"/>
      <c r="I305" s="594"/>
      <c r="J305" s="1223"/>
      <c r="K305" s="1223"/>
      <c r="L305" s="1223"/>
      <c r="M305" s="1223"/>
      <c r="N305" s="1207"/>
      <c r="O305" s="594" t="s">
        <v>2941</v>
      </c>
      <c r="P305" s="587">
        <v>40080</v>
      </c>
      <c r="Q305" s="587">
        <v>40080</v>
      </c>
      <c r="R305" s="587">
        <f t="shared" si="8"/>
        <v>0</v>
      </c>
      <c r="S305" s="1215"/>
      <c r="T305" s="585"/>
      <c r="U305" s="585"/>
      <c r="V305" s="585"/>
    </row>
    <row r="306" spans="1:22" ht="15" customHeight="1">
      <c r="A306" s="1223"/>
      <c r="B306" s="594"/>
      <c r="C306" s="594"/>
      <c r="D306" s="594"/>
      <c r="E306" s="594"/>
      <c r="F306" s="594"/>
      <c r="G306" s="594"/>
      <c r="H306" s="594"/>
      <c r="I306" s="594"/>
      <c r="J306" s="1223"/>
      <c r="K306" s="1223"/>
      <c r="L306" s="1223"/>
      <c r="M306" s="1223"/>
      <c r="N306" s="1207"/>
      <c r="O306" s="594" t="s">
        <v>2942</v>
      </c>
      <c r="P306" s="587">
        <v>30720</v>
      </c>
      <c r="Q306" s="587">
        <v>30720</v>
      </c>
      <c r="R306" s="587">
        <f t="shared" si="8"/>
        <v>0</v>
      </c>
      <c r="S306" s="1215"/>
      <c r="T306" s="585"/>
      <c r="U306" s="585"/>
      <c r="V306" s="585"/>
    </row>
    <row r="307" spans="1:22" ht="15" customHeight="1">
      <c r="A307" s="1223"/>
      <c r="B307" s="594"/>
      <c r="C307" s="594"/>
      <c r="D307" s="594"/>
      <c r="E307" s="594"/>
      <c r="F307" s="594"/>
      <c r="G307" s="594"/>
      <c r="H307" s="594"/>
      <c r="I307" s="594"/>
      <c r="J307" s="1223"/>
      <c r="K307" s="1223"/>
      <c r="L307" s="1223"/>
      <c r="M307" s="1223"/>
      <c r="N307" s="1206" t="s">
        <v>1938</v>
      </c>
      <c r="O307" s="594" t="s">
        <v>2946</v>
      </c>
      <c r="P307" s="587">
        <v>88809</v>
      </c>
      <c r="Q307" s="587">
        <v>88809</v>
      </c>
      <c r="R307" s="587">
        <f t="shared" si="8"/>
        <v>0</v>
      </c>
      <c r="S307" s="1215"/>
      <c r="T307" s="585"/>
      <c r="U307" s="585"/>
      <c r="V307" s="585"/>
    </row>
    <row r="308" spans="1:22" ht="15" customHeight="1">
      <c r="A308" s="1223"/>
      <c r="B308" s="594"/>
      <c r="C308" s="594"/>
      <c r="D308" s="594"/>
      <c r="E308" s="594"/>
      <c r="F308" s="594"/>
      <c r="G308" s="594"/>
      <c r="H308" s="594"/>
      <c r="I308" s="594"/>
      <c r="J308" s="1223"/>
      <c r="K308" s="1223"/>
      <c r="L308" s="1223"/>
      <c r="M308" s="1223"/>
      <c r="N308" s="1206"/>
      <c r="O308" s="594" t="s">
        <v>2950</v>
      </c>
      <c r="P308" s="587">
        <v>9510</v>
      </c>
      <c r="Q308" s="587">
        <v>9510</v>
      </c>
      <c r="R308" s="587">
        <f t="shared" si="8"/>
        <v>0</v>
      </c>
      <c r="S308" s="1215"/>
      <c r="T308" s="585"/>
      <c r="U308" s="585"/>
      <c r="V308" s="585"/>
    </row>
    <row r="309" spans="1:22" ht="15" customHeight="1">
      <c r="A309" s="1223"/>
      <c r="B309" s="594"/>
      <c r="C309" s="594"/>
      <c r="D309" s="594"/>
      <c r="E309" s="594"/>
      <c r="F309" s="594"/>
      <c r="G309" s="594"/>
      <c r="H309" s="594"/>
      <c r="I309" s="594"/>
      <c r="J309" s="1223"/>
      <c r="K309" s="1223"/>
      <c r="L309" s="1223"/>
      <c r="M309" s="1223"/>
      <c r="N309" s="1206"/>
      <c r="O309" s="594" t="s">
        <v>2968</v>
      </c>
      <c r="P309" s="587">
        <v>5110</v>
      </c>
      <c r="Q309" s="587">
        <v>5110</v>
      </c>
      <c r="R309" s="587">
        <f t="shared" si="8"/>
        <v>0</v>
      </c>
      <c r="S309" s="1215"/>
      <c r="T309" s="585"/>
      <c r="U309" s="585"/>
      <c r="V309" s="585"/>
    </row>
    <row r="310" spans="1:22" ht="15" customHeight="1">
      <c r="A310" s="1223"/>
      <c r="B310" s="594"/>
      <c r="C310" s="594"/>
      <c r="D310" s="594"/>
      <c r="E310" s="594"/>
      <c r="F310" s="594"/>
      <c r="G310" s="594"/>
      <c r="H310" s="594"/>
      <c r="I310" s="594"/>
      <c r="J310" s="1223"/>
      <c r="K310" s="1223"/>
      <c r="L310" s="1223"/>
      <c r="M310" s="1223"/>
      <c r="N310" s="1206"/>
      <c r="O310" s="594" t="s">
        <v>2978</v>
      </c>
      <c r="P310" s="587">
        <v>34410</v>
      </c>
      <c r="Q310" s="587">
        <v>34410</v>
      </c>
      <c r="R310" s="587">
        <f t="shared" si="8"/>
        <v>0</v>
      </c>
      <c r="S310" s="1215"/>
      <c r="T310" s="585"/>
      <c r="U310" s="585"/>
      <c r="V310" s="585"/>
    </row>
    <row r="311" spans="1:22" ht="15" customHeight="1">
      <c r="A311" s="1223"/>
      <c r="B311" s="594"/>
      <c r="C311" s="594"/>
      <c r="D311" s="594"/>
      <c r="E311" s="594"/>
      <c r="F311" s="594"/>
      <c r="G311" s="594"/>
      <c r="H311" s="594"/>
      <c r="I311" s="594"/>
      <c r="J311" s="1223"/>
      <c r="K311" s="1223"/>
      <c r="L311" s="1223"/>
      <c r="M311" s="1223"/>
      <c r="N311" s="1206" t="s">
        <v>1954</v>
      </c>
      <c r="O311" s="594" t="s">
        <v>2997</v>
      </c>
      <c r="P311" s="587">
        <v>25350</v>
      </c>
      <c r="Q311" s="587">
        <v>25350</v>
      </c>
      <c r="R311" s="587">
        <f t="shared" si="8"/>
        <v>0</v>
      </c>
      <c r="S311" s="1215"/>
      <c r="T311" s="585"/>
      <c r="U311" s="585"/>
      <c r="V311" s="585"/>
    </row>
    <row r="312" spans="1:22" ht="15" customHeight="1">
      <c r="A312" s="1223"/>
      <c r="B312" s="594"/>
      <c r="C312" s="594"/>
      <c r="D312" s="594"/>
      <c r="E312" s="594"/>
      <c r="F312" s="594"/>
      <c r="G312" s="594"/>
      <c r="H312" s="594"/>
      <c r="I312" s="594"/>
      <c r="J312" s="1223"/>
      <c r="K312" s="1223"/>
      <c r="L312" s="1223"/>
      <c r="M312" s="1223"/>
      <c r="N312" s="1206"/>
      <c r="O312" s="594" t="s">
        <v>2998</v>
      </c>
      <c r="P312" s="587">
        <v>41652</v>
      </c>
      <c r="Q312" s="587">
        <v>41652</v>
      </c>
      <c r="R312" s="587">
        <f t="shared" si="8"/>
        <v>0</v>
      </c>
      <c r="S312" s="1215"/>
      <c r="T312" s="585"/>
      <c r="U312" s="585"/>
      <c r="V312" s="585"/>
    </row>
    <row r="313" spans="1:22" ht="15" customHeight="1">
      <c r="A313" s="1223"/>
      <c r="B313" s="594"/>
      <c r="C313" s="594"/>
      <c r="D313" s="594"/>
      <c r="E313" s="594"/>
      <c r="F313" s="594"/>
      <c r="G313" s="594"/>
      <c r="H313" s="594"/>
      <c r="I313" s="594"/>
      <c r="J313" s="1223"/>
      <c r="K313" s="1223"/>
      <c r="L313" s="1223"/>
      <c r="M313" s="1223"/>
      <c r="N313" s="1206"/>
      <c r="O313" s="594" t="s">
        <v>3006</v>
      </c>
      <c r="P313" s="587">
        <v>50382</v>
      </c>
      <c r="Q313" s="587">
        <v>50382</v>
      </c>
      <c r="R313" s="587">
        <f t="shared" si="8"/>
        <v>0</v>
      </c>
      <c r="S313" s="1215"/>
      <c r="T313" s="585"/>
      <c r="U313" s="585"/>
      <c r="V313" s="585"/>
    </row>
    <row r="314" spans="1:22" ht="15" customHeight="1">
      <c r="A314" s="1223"/>
      <c r="B314" s="594"/>
      <c r="C314" s="594"/>
      <c r="D314" s="594"/>
      <c r="E314" s="594"/>
      <c r="F314" s="594"/>
      <c r="G314" s="594"/>
      <c r="H314" s="594"/>
      <c r="I314" s="594"/>
      <c r="J314" s="1223"/>
      <c r="K314" s="1223"/>
      <c r="L314" s="1223"/>
      <c r="M314" s="1223"/>
      <c r="N314" s="1206"/>
      <c r="O314" s="594" t="s">
        <v>3008</v>
      </c>
      <c r="P314" s="587">
        <v>14500</v>
      </c>
      <c r="Q314" s="587">
        <v>14500</v>
      </c>
      <c r="R314" s="587">
        <f>P314-Q314</f>
        <v>0</v>
      </c>
      <c r="S314" s="1215"/>
      <c r="T314" s="585"/>
      <c r="U314" s="585"/>
      <c r="V314" s="585"/>
    </row>
    <row r="315" spans="1:22" ht="15" customHeight="1">
      <c r="A315" s="1223"/>
      <c r="B315" s="594"/>
      <c r="C315" s="594"/>
      <c r="D315" s="594"/>
      <c r="E315" s="594"/>
      <c r="F315" s="594"/>
      <c r="G315" s="594"/>
      <c r="H315" s="594"/>
      <c r="I315" s="594"/>
      <c r="J315" s="1223"/>
      <c r="K315" s="1223"/>
      <c r="L315" s="1223"/>
      <c r="M315" s="1223"/>
      <c r="N315" s="1206"/>
      <c r="O315" s="594" t="s">
        <v>3013</v>
      </c>
      <c r="P315" s="587">
        <v>5040</v>
      </c>
      <c r="Q315" s="587">
        <v>5040</v>
      </c>
      <c r="R315" s="587">
        <f>P315-Q315</f>
        <v>0</v>
      </c>
      <c r="S315" s="1215"/>
      <c r="T315" s="585"/>
      <c r="U315" s="585"/>
      <c r="V315" s="585"/>
    </row>
    <row r="316" spans="1:22" ht="15" customHeight="1">
      <c r="A316" s="1223"/>
      <c r="B316" s="594"/>
      <c r="C316" s="594"/>
      <c r="D316" s="594"/>
      <c r="E316" s="594"/>
      <c r="F316" s="594"/>
      <c r="G316" s="594"/>
      <c r="H316" s="594"/>
      <c r="I316" s="594"/>
      <c r="J316" s="1223"/>
      <c r="K316" s="1223"/>
      <c r="L316" s="1223"/>
      <c r="M316" s="1223"/>
      <c r="N316" s="1206"/>
      <c r="O316" s="594" t="s">
        <v>3014</v>
      </c>
      <c r="P316" s="587">
        <v>104328</v>
      </c>
      <c r="Q316" s="587">
        <v>104328</v>
      </c>
      <c r="R316" s="587">
        <f>P316-Q316</f>
        <v>0</v>
      </c>
      <c r="S316" s="1215"/>
      <c r="T316" s="585"/>
      <c r="U316" s="585"/>
      <c r="V316" s="585"/>
    </row>
    <row r="317" spans="1:22" ht="15" customHeight="1">
      <c r="A317" s="1223"/>
      <c r="B317" s="594"/>
      <c r="C317" s="594"/>
      <c r="D317" s="594"/>
      <c r="E317" s="594"/>
      <c r="F317" s="594"/>
      <c r="G317" s="594"/>
      <c r="H317" s="594"/>
      <c r="I317" s="594"/>
      <c r="J317" s="1223"/>
      <c r="K317" s="1223"/>
      <c r="L317" s="1223"/>
      <c r="M317" s="1223"/>
      <c r="N317" s="1206"/>
      <c r="O317" s="594" t="s">
        <v>2631</v>
      </c>
      <c r="P317" s="587">
        <v>13800</v>
      </c>
      <c r="Q317" s="587">
        <v>13800</v>
      </c>
      <c r="R317" s="587">
        <f>P317-Q317</f>
        <v>0</v>
      </c>
      <c r="S317" s="1247"/>
      <c r="T317" s="585"/>
      <c r="U317" s="585"/>
      <c r="V317" s="585"/>
    </row>
    <row r="318" spans="1:22" ht="24" customHeight="1">
      <c r="A318" s="1236" t="s">
        <v>1544</v>
      </c>
      <c r="B318" s="594"/>
      <c r="C318" s="594"/>
      <c r="D318" s="594"/>
      <c r="E318" s="594"/>
      <c r="F318" s="594"/>
      <c r="G318" s="594"/>
      <c r="H318" s="594"/>
      <c r="I318" s="594"/>
      <c r="J318" s="1237" t="s">
        <v>3582</v>
      </c>
      <c r="K318" s="1237" t="s">
        <v>1301</v>
      </c>
      <c r="L318" s="604" t="s">
        <v>3694</v>
      </c>
      <c r="M318" s="604" t="s">
        <v>3624</v>
      </c>
      <c r="N318" s="590" t="s">
        <v>1954</v>
      </c>
      <c r="O318" s="594" t="s">
        <v>3017</v>
      </c>
      <c r="P318" s="587">
        <v>10000</v>
      </c>
      <c r="Q318" s="587">
        <v>10000</v>
      </c>
      <c r="R318" s="587">
        <f>P318-Q318</f>
        <v>0</v>
      </c>
      <c r="S318" s="599" t="s">
        <v>3695</v>
      </c>
      <c r="T318" s="585"/>
      <c r="U318" s="585"/>
      <c r="V318" s="585"/>
    </row>
    <row r="319" spans="1:22" ht="15" customHeight="1">
      <c r="A319" s="1223"/>
      <c r="B319" s="594"/>
      <c r="C319" s="594"/>
      <c r="D319" s="594"/>
      <c r="E319" s="594"/>
      <c r="F319" s="594"/>
      <c r="G319" s="594"/>
      <c r="H319" s="594"/>
      <c r="I319" s="594"/>
      <c r="J319" s="1237"/>
      <c r="K319" s="1223"/>
      <c r="L319" s="1210" t="s">
        <v>3696</v>
      </c>
      <c r="M319" s="1223"/>
      <c r="N319" s="1223"/>
      <c r="O319" s="1223"/>
      <c r="P319" s="588">
        <f>SUM(P250:P318)</f>
        <v>2968215</v>
      </c>
      <c r="Q319" s="588">
        <f>SUM(Q250:Q318)</f>
        <v>2968215</v>
      </c>
      <c r="R319" s="588">
        <f>SUM(R250:R318)</f>
        <v>0</v>
      </c>
      <c r="S319" s="599"/>
      <c r="T319" s="585"/>
      <c r="U319" s="585"/>
      <c r="V319" s="585"/>
    </row>
    <row r="320" spans="1:22" ht="15" customHeight="1">
      <c r="A320" s="1223"/>
      <c r="B320" s="594"/>
      <c r="C320" s="594"/>
      <c r="D320" s="594"/>
      <c r="E320" s="594"/>
      <c r="F320" s="594"/>
      <c r="G320" s="594"/>
      <c r="H320" s="594"/>
      <c r="I320" s="594"/>
      <c r="J320" s="1237" t="s">
        <v>3587</v>
      </c>
      <c r="K320" s="1223"/>
      <c r="L320" s="1200" t="s">
        <v>1568</v>
      </c>
      <c r="M320" s="1254" t="s">
        <v>3621</v>
      </c>
      <c r="N320" s="1254"/>
      <c r="O320" s="1254"/>
      <c r="P320" s="586">
        <f>1260000+77300+100000+140000+140000</f>
        <v>1717300</v>
      </c>
      <c r="Q320" s="586">
        <f>1260000+77300+100000+140000+140000</f>
        <v>1717300</v>
      </c>
      <c r="R320" s="587">
        <f t="shared" ref="R320:R364" si="9">P320-Q320</f>
        <v>0</v>
      </c>
      <c r="S320" s="1246" t="s">
        <v>3697</v>
      </c>
      <c r="T320" s="585"/>
      <c r="U320" s="585"/>
      <c r="V320" s="585"/>
    </row>
    <row r="321" spans="1:22" ht="15" customHeight="1">
      <c r="A321" s="1223"/>
      <c r="B321" s="594"/>
      <c r="C321" s="594"/>
      <c r="D321" s="594"/>
      <c r="E321" s="594"/>
      <c r="F321" s="594"/>
      <c r="G321" s="594"/>
      <c r="H321" s="594"/>
      <c r="I321" s="594"/>
      <c r="J321" s="1237"/>
      <c r="K321" s="1223"/>
      <c r="L321" s="1200"/>
      <c r="M321" s="1237" t="s">
        <v>3624</v>
      </c>
      <c r="N321" s="1237" t="s">
        <v>1894</v>
      </c>
      <c r="O321" s="590" t="s">
        <v>1894</v>
      </c>
      <c r="P321" s="586">
        <f>170000+220000</f>
        <v>390000</v>
      </c>
      <c r="Q321" s="586">
        <f>170000+220000</f>
        <v>390000</v>
      </c>
      <c r="R321" s="587">
        <f t="shared" si="9"/>
        <v>0</v>
      </c>
      <c r="S321" s="1248"/>
      <c r="T321" s="585"/>
      <c r="U321" s="585"/>
      <c r="V321" s="585"/>
    </row>
    <row r="322" spans="1:22" ht="15" customHeight="1">
      <c r="A322" s="1223"/>
      <c r="B322" s="594"/>
      <c r="C322" s="594"/>
      <c r="D322" s="594"/>
      <c r="E322" s="594"/>
      <c r="F322" s="594"/>
      <c r="G322" s="594"/>
      <c r="H322" s="594"/>
      <c r="I322" s="594"/>
      <c r="J322" s="1237"/>
      <c r="K322" s="1223"/>
      <c r="L322" s="1200"/>
      <c r="M322" s="1237"/>
      <c r="N322" s="1237"/>
      <c r="O322" s="590" t="s">
        <v>2660</v>
      </c>
      <c r="P322" s="586">
        <v>300000</v>
      </c>
      <c r="Q322" s="586">
        <v>300000</v>
      </c>
      <c r="R322" s="587">
        <f t="shared" si="9"/>
        <v>0</v>
      </c>
      <c r="S322" s="1248"/>
      <c r="T322" s="585"/>
      <c r="U322" s="585"/>
      <c r="V322" s="585"/>
    </row>
    <row r="323" spans="1:22" ht="15" customHeight="1">
      <c r="A323" s="1223"/>
      <c r="B323" s="594"/>
      <c r="C323" s="594"/>
      <c r="D323" s="594"/>
      <c r="E323" s="594"/>
      <c r="F323" s="594"/>
      <c r="G323" s="594"/>
      <c r="H323" s="594"/>
      <c r="I323" s="594"/>
      <c r="J323" s="1237"/>
      <c r="K323" s="1223"/>
      <c r="L323" s="1200"/>
      <c r="M323" s="1223"/>
      <c r="N323" s="1237"/>
      <c r="O323" s="604" t="s">
        <v>2644</v>
      </c>
      <c r="P323" s="586">
        <v>45000</v>
      </c>
      <c r="Q323" s="586">
        <v>45000</v>
      </c>
      <c r="R323" s="587">
        <f t="shared" si="9"/>
        <v>0</v>
      </c>
      <c r="S323" s="1248"/>
      <c r="T323" s="585"/>
      <c r="U323" s="585"/>
      <c r="V323" s="585"/>
    </row>
    <row r="324" spans="1:22" ht="15" customHeight="1">
      <c r="A324" s="1223"/>
      <c r="B324" s="594"/>
      <c r="C324" s="594"/>
      <c r="D324" s="594"/>
      <c r="E324" s="594"/>
      <c r="F324" s="594"/>
      <c r="G324" s="594"/>
      <c r="H324" s="594"/>
      <c r="I324" s="594"/>
      <c r="J324" s="1237"/>
      <c r="K324" s="1223"/>
      <c r="L324" s="1200"/>
      <c r="M324" s="1223"/>
      <c r="N324" s="1237"/>
      <c r="O324" s="604" t="s">
        <v>2671</v>
      </c>
      <c r="P324" s="586">
        <f>810000+90000</f>
        <v>900000</v>
      </c>
      <c r="Q324" s="586">
        <f>810000+90000</f>
        <v>900000</v>
      </c>
      <c r="R324" s="587">
        <f t="shared" si="9"/>
        <v>0</v>
      </c>
      <c r="S324" s="1248"/>
      <c r="T324" s="585"/>
      <c r="U324" s="585"/>
      <c r="V324" s="585"/>
    </row>
    <row r="325" spans="1:22" ht="15" customHeight="1">
      <c r="A325" s="1223"/>
      <c r="B325" s="594"/>
      <c r="C325" s="594"/>
      <c r="D325" s="594"/>
      <c r="E325" s="594"/>
      <c r="F325" s="594"/>
      <c r="G325" s="594"/>
      <c r="H325" s="594"/>
      <c r="I325" s="594"/>
      <c r="J325" s="1237"/>
      <c r="K325" s="1223"/>
      <c r="L325" s="1200"/>
      <c r="M325" s="1223"/>
      <c r="N325" s="1237" t="s">
        <v>1994</v>
      </c>
      <c r="O325" s="604" t="s">
        <v>2735</v>
      </c>
      <c r="P325" s="586">
        <v>200000</v>
      </c>
      <c r="Q325" s="586">
        <v>200000</v>
      </c>
      <c r="R325" s="587">
        <f t="shared" si="9"/>
        <v>0</v>
      </c>
      <c r="S325" s="1248"/>
      <c r="T325" s="585"/>
      <c r="U325" s="585"/>
      <c r="V325" s="585"/>
    </row>
    <row r="326" spans="1:22" ht="15" customHeight="1">
      <c r="A326" s="1223"/>
      <c r="B326" s="594"/>
      <c r="C326" s="594"/>
      <c r="D326" s="594"/>
      <c r="E326" s="594"/>
      <c r="F326" s="594"/>
      <c r="G326" s="594"/>
      <c r="H326" s="594"/>
      <c r="I326" s="594"/>
      <c r="J326" s="1237"/>
      <c r="K326" s="1223"/>
      <c r="L326" s="1200"/>
      <c r="M326" s="1223"/>
      <c r="N326" s="1237"/>
      <c r="O326" s="604" t="s">
        <v>2752</v>
      </c>
      <c r="P326" s="586">
        <f>540000+60000</f>
        <v>600000</v>
      </c>
      <c r="Q326" s="586">
        <f>540000+60000</f>
        <v>600000</v>
      </c>
      <c r="R326" s="587">
        <f t="shared" si="9"/>
        <v>0</v>
      </c>
      <c r="S326" s="1248"/>
      <c r="T326" s="585"/>
      <c r="U326" s="585"/>
      <c r="V326" s="585"/>
    </row>
    <row r="327" spans="1:22" ht="15" customHeight="1">
      <c r="A327" s="1223"/>
      <c r="B327" s="594"/>
      <c r="C327" s="594"/>
      <c r="D327" s="594"/>
      <c r="E327" s="594"/>
      <c r="F327" s="594"/>
      <c r="G327" s="594"/>
      <c r="H327" s="594"/>
      <c r="I327" s="594"/>
      <c r="J327" s="1237"/>
      <c r="K327" s="1223"/>
      <c r="L327" s="1200"/>
      <c r="M327" s="1223"/>
      <c r="N327" s="1237" t="s">
        <v>2785</v>
      </c>
      <c r="O327" s="604" t="s">
        <v>2795</v>
      </c>
      <c r="P327" s="586">
        <v>100000</v>
      </c>
      <c r="Q327" s="586">
        <v>100000</v>
      </c>
      <c r="R327" s="587">
        <f t="shared" si="9"/>
        <v>0</v>
      </c>
      <c r="S327" s="1248"/>
      <c r="T327" s="585"/>
      <c r="U327" s="585"/>
      <c r="V327" s="585"/>
    </row>
    <row r="328" spans="1:22" ht="15" customHeight="1">
      <c r="A328" s="1223"/>
      <c r="B328" s="594"/>
      <c r="C328" s="594"/>
      <c r="D328" s="594"/>
      <c r="E328" s="594"/>
      <c r="F328" s="594"/>
      <c r="G328" s="594"/>
      <c r="H328" s="594"/>
      <c r="I328" s="594"/>
      <c r="J328" s="1237"/>
      <c r="K328" s="1223"/>
      <c r="L328" s="1200"/>
      <c r="M328" s="1223"/>
      <c r="N328" s="1237"/>
      <c r="O328" s="604" t="s">
        <v>2811</v>
      </c>
      <c r="P328" s="586">
        <v>360000</v>
      </c>
      <c r="Q328" s="586">
        <v>360000</v>
      </c>
      <c r="R328" s="587">
        <f t="shared" si="9"/>
        <v>0</v>
      </c>
      <c r="S328" s="1248"/>
      <c r="T328" s="585"/>
      <c r="U328" s="585"/>
      <c r="V328" s="585"/>
    </row>
    <row r="329" spans="1:22" ht="15" customHeight="1">
      <c r="A329" s="1223"/>
      <c r="B329" s="594"/>
      <c r="C329" s="594"/>
      <c r="D329" s="594"/>
      <c r="E329" s="594"/>
      <c r="F329" s="594"/>
      <c r="G329" s="594"/>
      <c r="H329" s="594"/>
      <c r="I329" s="594"/>
      <c r="J329" s="1237"/>
      <c r="K329" s="1223"/>
      <c r="L329" s="1200"/>
      <c r="M329" s="1223"/>
      <c r="N329" s="1237"/>
      <c r="O329" s="604" t="s">
        <v>2814</v>
      </c>
      <c r="P329" s="586">
        <v>9000</v>
      </c>
      <c r="Q329" s="586">
        <v>9000</v>
      </c>
      <c r="R329" s="587">
        <f t="shared" si="9"/>
        <v>0</v>
      </c>
      <c r="S329" s="1248"/>
      <c r="T329" s="585"/>
      <c r="U329" s="585"/>
      <c r="V329" s="585"/>
    </row>
    <row r="330" spans="1:22" ht="15" customHeight="1">
      <c r="A330" s="1223"/>
      <c r="B330" s="594"/>
      <c r="C330" s="594"/>
      <c r="D330" s="594"/>
      <c r="E330" s="594"/>
      <c r="F330" s="594"/>
      <c r="G330" s="594"/>
      <c r="H330" s="594"/>
      <c r="I330" s="594"/>
      <c r="J330" s="1237"/>
      <c r="K330" s="1223"/>
      <c r="L330" s="1200"/>
      <c r="M330" s="1223"/>
      <c r="N330" s="1237"/>
      <c r="O330" s="604" t="s">
        <v>2821</v>
      </c>
      <c r="P330" s="586">
        <f>90000+10000</f>
        <v>100000</v>
      </c>
      <c r="Q330" s="586">
        <f>90000+10000</f>
        <v>100000</v>
      </c>
      <c r="R330" s="587">
        <f t="shared" si="9"/>
        <v>0</v>
      </c>
      <c r="S330" s="1248"/>
      <c r="T330" s="585"/>
      <c r="U330" s="585"/>
      <c r="V330" s="585"/>
    </row>
    <row r="331" spans="1:22" ht="15" customHeight="1">
      <c r="A331" s="1223"/>
      <c r="B331" s="594"/>
      <c r="C331" s="594"/>
      <c r="D331" s="594"/>
      <c r="E331" s="594"/>
      <c r="F331" s="594"/>
      <c r="G331" s="594"/>
      <c r="H331" s="594"/>
      <c r="I331" s="594"/>
      <c r="J331" s="1237"/>
      <c r="K331" s="1223"/>
      <c r="L331" s="1200"/>
      <c r="M331" s="1223"/>
      <c r="N331" s="1237"/>
      <c r="O331" s="604" t="s">
        <v>2823</v>
      </c>
      <c r="P331" s="586">
        <v>25700</v>
      </c>
      <c r="Q331" s="586">
        <v>25700</v>
      </c>
      <c r="R331" s="587">
        <f t="shared" si="9"/>
        <v>0</v>
      </c>
      <c r="S331" s="1248"/>
      <c r="T331" s="585"/>
      <c r="U331" s="585"/>
      <c r="V331" s="585"/>
    </row>
    <row r="332" spans="1:22" ht="15" customHeight="1">
      <c r="A332" s="1223"/>
      <c r="B332" s="594"/>
      <c r="C332" s="594"/>
      <c r="D332" s="594"/>
      <c r="E332" s="594"/>
      <c r="F332" s="594"/>
      <c r="G332" s="594"/>
      <c r="H332" s="594"/>
      <c r="I332" s="594"/>
      <c r="J332" s="1237"/>
      <c r="K332" s="1223"/>
      <c r="L332" s="1200"/>
      <c r="M332" s="1223"/>
      <c r="N332" s="1237"/>
      <c r="O332" s="604" t="s">
        <v>2828</v>
      </c>
      <c r="P332" s="586">
        <v>30000</v>
      </c>
      <c r="Q332" s="586">
        <v>30000</v>
      </c>
      <c r="R332" s="587">
        <f t="shared" si="9"/>
        <v>0</v>
      </c>
      <c r="S332" s="1248"/>
      <c r="T332" s="585"/>
      <c r="U332" s="585"/>
      <c r="V332" s="585"/>
    </row>
    <row r="333" spans="1:22" ht="15" customHeight="1">
      <c r="A333" s="1223"/>
      <c r="B333" s="594"/>
      <c r="C333" s="594"/>
      <c r="D333" s="594"/>
      <c r="E333" s="594"/>
      <c r="F333" s="594"/>
      <c r="G333" s="594"/>
      <c r="H333" s="594"/>
      <c r="I333" s="594"/>
      <c r="J333" s="1237"/>
      <c r="K333" s="1223"/>
      <c r="L333" s="1200"/>
      <c r="M333" s="1223"/>
      <c r="N333" s="1237"/>
      <c r="O333" s="604" t="s">
        <v>2832</v>
      </c>
      <c r="P333" s="586">
        <v>50000</v>
      </c>
      <c r="Q333" s="586">
        <v>50000</v>
      </c>
      <c r="R333" s="587">
        <f t="shared" si="9"/>
        <v>0</v>
      </c>
      <c r="S333" s="1248"/>
      <c r="T333" s="585"/>
      <c r="U333" s="585"/>
      <c r="V333" s="585"/>
    </row>
    <row r="334" spans="1:22" ht="15" customHeight="1">
      <c r="A334" s="1223"/>
      <c r="B334" s="594"/>
      <c r="C334" s="594"/>
      <c r="D334" s="594"/>
      <c r="E334" s="594"/>
      <c r="F334" s="594"/>
      <c r="G334" s="594"/>
      <c r="H334" s="594"/>
      <c r="I334" s="594"/>
      <c r="J334" s="1237"/>
      <c r="K334" s="1223"/>
      <c r="L334" s="1200"/>
      <c r="M334" s="1223"/>
      <c r="N334" s="1237" t="s">
        <v>2853</v>
      </c>
      <c r="O334" s="604" t="s">
        <v>2858</v>
      </c>
      <c r="P334" s="586">
        <v>100000</v>
      </c>
      <c r="Q334" s="586">
        <v>100000</v>
      </c>
      <c r="R334" s="587">
        <f t="shared" si="9"/>
        <v>0</v>
      </c>
      <c r="S334" s="1248"/>
      <c r="T334" s="585"/>
      <c r="U334" s="585"/>
      <c r="V334" s="585"/>
    </row>
    <row r="335" spans="1:22" ht="15" customHeight="1">
      <c r="A335" s="1223"/>
      <c r="B335" s="594"/>
      <c r="C335" s="594"/>
      <c r="D335" s="594"/>
      <c r="E335" s="594"/>
      <c r="F335" s="594"/>
      <c r="G335" s="594"/>
      <c r="H335" s="594"/>
      <c r="I335" s="594"/>
      <c r="J335" s="1237"/>
      <c r="K335" s="1223"/>
      <c r="L335" s="1200"/>
      <c r="M335" s="1223"/>
      <c r="N335" s="1237"/>
      <c r="O335" s="604" t="s">
        <v>2861</v>
      </c>
      <c r="P335" s="586">
        <f>1170000+130000</f>
        <v>1300000</v>
      </c>
      <c r="Q335" s="586">
        <f>1170000+130000</f>
        <v>1300000</v>
      </c>
      <c r="R335" s="587">
        <f t="shared" si="9"/>
        <v>0</v>
      </c>
      <c r="S335" s="1248"/>
      <c r="T335" s="585"/>
      <c r="U335" s="585"/>
      <c r="V335" s="585"/>
    </row>
    <row r="336" spans="1:22" ht="15" customHeight="1">
      <c r="A336" s="1223"/>
      <c r="B336" s="594"/>
      <c r="C336" s="594"/>
      <c r="D336" s="594"/>
      <c r="E336" s="594"/>
      <c r="F336" s="594"/>
      <c r="G336" s="594"/>
      <c r="H336" s="594"/>
      <c r="I336" s="594"/>
      <c r="J336" s="1237"/>
      <c r="K336" s="1223"/>
      <c r="L336" s="1200"/>
      <c r="M336" s="1223"/>
      <c r="N336" s="1237"/>
      <c r="O336" s="604" t="s">
        <v>2868</v>
      </c>
      <c r="P336" s="586">
        <f>900000+100000</f>
        <v>1000000</v>
      </c>
      <c r="Q336" s="586">
        <f>900000+100000</f>
        <v>1000000</v>
      </c>
      <c r="R336" s="587">
        <f t="shared" si="9"/>
        <v>0</v>
      </c>
      <c r="S336" s="1248"/>
      <c r="T336" s="585"/>
      <c r="U336" s="585"/>
      <c r="V336" s="585"/>
    </row>
    <row r="337" spans="1:22" ht="15" customHeight="1">
      <c r="A337" s="1223"/>
      <c r="B337" s="594"/>
      <c r="C337" s="594"/>
      <c r="D337" s="594"/>
      <c r="E337" s="594"/>
      <c r="F337" s="594"/>
      <c r="G337" s="594"/>
      <c r="H337" s="594"/>
      <c r="I337" s="594"/>
      <c r="J337" s="1237"/>
      <c r="K337" s="1223"/>
      <c r="L337" s="1200"/>
      <c r="M337" s="1223"/>
      <c r="N337" s="1237"/>
      <c r="O337" s="604" t="s">
        <v>2619</v>
      </c>
      <c r="P337" s="586">
        <v>100000</v>
      </c>
      <c r="Q337" s="586">
        <v>100000</v>
      </c>
      <c r="R337" s="587">
        <f t="shared" si="9"/>
        <v>0</v>
      </c>
      <c r="S337" s="1248"/>
      <c r="T337" s="585"/>
      <c r="U337" s="585"/>
      <c r="V337" s="585"/>
    </row>
    <row r="338" spans="1:22" ht="15" customHeight="1">
      <c r="A338" s="1223"/>
      <c r="B338" s="594"/>
      <c r="C338" s="594"/>
      <c r="D338" s="594"/>
      <c r="E338" s="594"/>
      <c r="F338" s="594"/>
      <c r="G338" s="594"/>
      <c r="H338" s="594"/>
      <c r="I338" s="594"/>
      <c r="J338" s="1237"/>
      <c r="K338" s="1223"/>
      <c r="L338" s="1200"/>
      <c r="M338" s="1223"/>
      <c r="N338" s="1237" t="s">
        <v>2870</v>
      </c>
      <c r="O338" s="604" t="s">
        <v>2936</v>
      </c>
      <c r="P338" s="586">
        <v>100000</v>
      </c>
      <c r="Q338" s="586">
        <v>100000</v>
      </c>
      <c r="R338" s="587">
        <f t="shared" si="9"/>
        <v>0</v>
      </c>
      <c r="S338" s="1248"/>
      <c r="T338" s="585"/>
      <c r="U338" s="585"/>
      <c r="V338" s="585"/>
    </row>
    <row r="339" spans="1:22" ht="15" customHeight="1">
      <c r="A339" s="1223"/>
      <c r="B339" s="594"/>
      <c r="C339" s="594"/>
      <c r="D339" s="594"/>
      <c r="E339" s="594"/>
      <c r="F339" s="594"/>
      <c r="G339" s="594"/>
      <c r="H339" s="594"/>
      <c r="I339" s="594"/>
      <c r="J339" s="1237"/>
      <c r="K339" s="1223"/>
      <c r="L339" s="1200"/>
      <c r="M339" s="1223"/>
      <c r="N339" s="1237"/>
      <c r="O339" s="604" t="s">
        <v>2924</v>
      </c>
      <c r="P339" s="586">
        <v>100000</v>
      </c>
      <c r="Q339" s="586">
        <v>100000</v>
      </c>
      <c r="R339" s="587">
        <f t="shared" si="9"/>
        <v>0</v>
      </c>
      <c r="S339" s="1248"/>
      <c r="T339" s="585"/>
      <c r="U339" s="585"/>
      <c r="V339" s="585"/>
    </row>
    <row r="340" spans="1:22" ht="15" customHeight="1">
      <c r="A340" s="1223"/>
      <c r="B340" s="594"/>
      <c r="C340" s="594"/>
      <c r="D340" s="594"/>
      <c r="E340" s="594"/>
      <c r="F340" s="594"/>
      <c r="G340" s="594"/>
      <c r="H340" s="594"/>
      <c r="I340" s="594"/>
      <c r="J340" s="1237"/>
      <c r="K340" s="1223"/>
      <c r="L340" s="1200"/>
      <c r="M340" s="1223"/>
      <c r="N340" s="1237" t="s">
        <v>1938</v>
      </c>
      <c r="O340" s="604" t="s">
        <v>2963</v>
      </c>
      <c r="P340" s="586">
        <f>900000+100000</f>
        <v>1000000</v>
      </c>
      <c r="Q340" s="586">
        <f>900000+100000</f>
        <v>1000000</v>
      </c>
      <c r="R340" s="587">
        <f t="shared" si="9"/>
        <v>0</v>
      </c>
      <c r="S340" s="1248"/>
      <c r="T340" s="585"/>
      <c r="U340" s="585"/>
      <c r="V340" s="585"/>
    </row>
    <row r="341" spans="1:22" ht="15" customHeight="1">
      <c r="A341" s="1223"/>
      <c r="B341" s="594"/>
      <c r="C341" s="594"/>
      <c r="D341" s="594"/>
      <c r="E341" s="594"/>
      <c r="F341" s="594"/>
      <c r="G341" s="594"/>
      <c r="H341" s="594"/>
      <c r="I341" s="594"/>
      <c r="J341" s="1237"/>
      <c r="K341" s="1223"/>
      <c r="L341" s="1200"/>
      <c r="M341" s="1223"/>
      <c r="N341" s="1237"/>
      <c r="O341" s="604" t="s">
        <v>2975</v>
      </c>
      <c r="P341" s="586">
        <v>180000</v>
      </c>
      <c r="Q341" s="586">
        <v>180000</v>
      </c>
      <c r="R341" s="587">
        <f t="shared" si="9"/>
        <v>0</v>
      </c>
      <c r="S341" s="1248"/>
      <c r="T341" s="585"/>
      <c r="U341" s="585"/>
      <c r="V341" s="585"/>
    </row>
    <row r="342" spans="1:22" ht="15" customHeight="1">
      <c r="A342" s="1223"/>
      <c r="B342" s="594"/>
      <c r="C342" s="594"/>
      <c r="D342" s="594"/>
      <c r="E342" s="594"/>
      <c r="F342" s="594"/>
      <c r="G342" s="594"/>
      <c r="H342" s="594"/>
      <c r="I342" s="594"/>
      <c r="J342" s="1237"/>
      <c r="K342" s="1223"/>
      <c r="L342" s="1200"/>
      <c r="M342" s="1223"/>
      <c r="N342" s="1237" t="s">
        <v>1954</v>
      </c>
      <c r="O342" s="604" t="s">
        <v>2999</v>
      </c>
      <c r="P342" s="586">
        <v>250000</v>
      </c>
      <c r="Q342" s="586">
        <v>250000</v>
      </c>
      <c r="R342" s="587">
        <f t="shared" si="9"/>
        <v>0</v>
      </c>
      <c r="S342" s="1215"/>
      <c r="T342" s="585"/>
      <c r="U342" s="585"/>
      <c r="V342" s="585"/>
    </row>
    <row r="343" spans="1:22" ht="15" customHeight="1">
      <c r="A343" s="1223"/>
      <c r="B343" s="594"/>
      <c r="C343" s="594"/>
      <c r="D343" s="594"/>
      <c r="E343" s="594"/>
      <c r="F343" s="594"/>
      <c r="G343" s="594"/>
      <c r="H343" s="594"/>
      <c r="I343" s="594"/>
      <c r="J343" s="1237"/>
      <c r="K343" s="1223"/>
      <c r="L343" s="1223"/>
      <c r="M343" s="1223"/>
      <c r="N343" s="1237"/>
      <c r="O343" s="604" t="s">
        <v>3013</v>
      </c>
      <c r="P343" s="586">
        <f>900000+100000</f>
        <v>1000000</v>
      </c>
      <c r="Q343" s="586">
        <f>900000+100000</f>
        <v>1000000</v>
      </c>
      <c r="R343" s="587">
        <f t="shared" si="9"/>
        <v>0</v>
      </c>
      <c r="S343" s="1247"/>
      <c r="T343" s="585"/>
      <c r="U343" s="585"/>
      <c r="V343" s="585"/>
    </row>
    <row r="344" spans="1:22" ht="15" customHeight="1">
      <c r="A344" s="1223"/>
      <c r="B344" s="594"/>
      <c r="C344" s="594"/>
      <c r="D344" s="594"/>
      <c r="E344" s="594"/>
      <c r="F344" s="594"/>
      <c r="G344" s="594"/>
      <c r="H344" s="594"/>
      <c r="I344" s="594"/>
      <c r="J344" s="1237"/>
      <c r="K344" s="1223"/>
      <c r="L344" s="1210" t="s">
        <v>3698</v>
      </c>
      <c r="M344" s="1223"/>
      <c r="N344" s="1223"/>
      <c r="O344" s="1223"/>
      <c r="P344" s="588">
        <f>SUM(P320:P343)</f>
        <v>9957000</v>
      </c>
      <c r="Q344" s="588">
        <f>SUM(Q320:Q343)</f>
        <v>9957000</v>
      </c>
      <c r="R344" s="588">
        <f>SUM(R320:R343)</f>
        <v>0</v>
      </c>
      <c r="S344" s="599"/>
      <c r="T344" s="585"/>
      <c r="U344" s="585"/>
      <c r="V344" s="585"/>
    </row>
    <row r="345" spans="1:22" ht="27.75" customHeight="1">
      <c r="A345" s="1223"/>
      <c r="B345" s="594"/>
      <c r="C345" s="594"/>
      <c r="D345" s="594"/>
      <c r="E345" s="594"/>
      <c r="F345" s="594"/>
      <c r="G345" s="594"/>
      <c r="H345" s="594"/>
      <c r="I345" s="594"/>
      <c r="J345" s="1245" t="s">
        <v>3699</v>
      </c>
      <c r="K345" s="1252"/>
      <c r="L345" s="1252"/>
      <c r="M345" s="1252"/>
      <c r="N345" s="1252"/>
      <c r="O345" s="1252"/>
      <c r="P345" s="588">
        <f>10000000-9957000</f>
        <v>43000</v>
      </c>
      <c r="Q345" s="588">
        <v>0</v>
      </c>
      <c r="R345" s="588">
        <f t="shared" si="9"/>
        <v>43000</v>
      </c>
      <c r="S345" s="599" t="s">
        <v>3695</v>
      </c>
      <c r="T345" s="585"/>
      <c r="U345" s="585"/>
      <c r="V345" s="585"/>
    </row>
    <row r="346" spans="1:22" ht="27.75" customHeight="1">
      <c r="A346" s="1223"/>
      <c r="B346" s="594"/>
      <c r="C346" s="594"/>
      <c r="D346" s="594"/>
      <c r="E346" s="594"/>
      <c r="F346" s="594"/>
      <c r="G346" s="594"/>
      <c r="H346" s="594"/>
      <c r="I346" s="594"/>
      <c r="J346" s="1245" t="s">
        <v>3700</v>
      </c>
      <c r="K346" s="1252"/>
      <c r="L346" s="1252"/>
      <c r="M346" s="1252"/>
      <c r="N346" s="1252"/>
      <c r="O346" s="1252"/>
      <c r="P346" s="588">
        <f>5000000-2968215</f>
        <v>2031785</v>
      </c>
      <c r="Q346" s="588">
        <v>0</v>
      </c>
      <c r="R346" s="588">
        <f t="shared" si="9"/>
        <v>2031785</v>
      </c>
      <c r="S346" s="599" t="s">
        <v>3695</v>
      </c>
      <c r="T346" s="585"/>
      <c r="U346" s="585"/>
      <c r="V346" s="585"/>
    </row>
    <row r="347" spans="1:22" ht="21.75" customHeight="1">
      <c r="A347" s="1223"/>
      <c r="B347" s="594"/>
      <c r="C347" s="594"/>
      <c r="D347" s="594"/>
      <c r="E347" s="594"/>
      <c r="F347" s="594"/>
      <c r="G347" s="594"/>
      <c r="H347" s="594"/>
      <c r="I347" s="594"/>
      <c r="J347" s="1245" t="s">
        <v>3608</v>
      </c>
      <c r="K347" s="1223"/>
      <c r="L347" s="1223"/>
      <c r="M347" s="1223"/>
      <c r="N347" s="1223"/>
      <c r="O347" s="1223"/>
      <c r="P347" s="588">
        <v>100000</v>
      </c>
      <c r="Q347" s="588">
        <v>0</v>
      </c>
      <c r="R347" s="588">
        <f t="shared" si="9"/>
        <v>100000</v>
      </c>
      <c r="S347" s="599" t="s">
        <v>3701</v>
      </c>
      <c r="T347" s="585"/>
      <c r="U347" s="585"/>
      <c r="V347" s="585"/>
    </row>
    <row r="348" spans="1:22" ht="24.6" customHeight="1">
      <c r="A348" s="1250" t="s">
        <v>3702</v>
      </c>
      <c r="B348" s="1253"/>
      <c r="C348" s="1253"/>
      <c r="D348" s="1253"/>
      <c r="E348" s="1253"/>
      <c r="F348" s="1253"/>
      <c r="G348" s="1253"/>
      <c r="H348" s="1253"/>
      <c r="I348" s="1253"/>
      <c r="J348" s="1253"/>
      <c r="K348" s="1253"/>
      <c r="L348" s="1253"/>
      <c r="M348" s="1253"/>
      <c r="N348" s="1253"/>
      <c r="O348" s="1253"/>
      <c r="P348" s="591">
        <f>P319+P344+P345+P346+P347</f>
        <v>15100000</v>
      </c>
      <c r="Q348" s="591">
        <f>Q319+Q344+Q345+Q346+Q347</f>
        <v>12925215</v>
      </c>
      <c r="R348" s="591">
        <f>R319+R344+R345+R346+R347</f>
        <v>2174785</v>
      </c>
      <c r="S348" s="599"/>
      <c r="T348" s="585"/>
      <c r="U348" s="585"/>
      <c r="V348" s="585"/>
    </row>
    <row r="349" spans="1:22" ht="75.75" customHeight="1">
      <c r="A349" s="605" t="s">
        <v>1489</v>
      </c>
      <c r="B349" s="606"/>
      <c r="C349" s="606"/>
      <c r="D349" s="606"/>
      <c r="E349" s="606"/>
      <c r="F349" s="606"/>
      <c r="G349" s="606"/>
      <c r="H349" s="606"/>
      <c r="I349" s="606"/>
      <c r="J349" s="1249" t="s">
        <v>3608</v>
      </c>
      <c r="K349" s="1249"/>
      <c r="L349" s="1249"/>
      <c r="M349" s="1249"/>
      <c r="N349" s="1249"/>
      <c r="O349" s="1249"/>
      <c r="P349" s="588">
        <v>2000000</v>
      </c>
      <c r="Q349" s="588">
        <v>0</v>
      </c>
      <c r="R349" s="588">
        <f t="shared" si="9"/>
        <v>2000000</v>
      </c>
      <c r="S349" s="599" t="s">
        <v>3609</v>
      </c>
      <c r="T349" s="585"/>
      <c r="U349" s="585"/>
      <c r="V349" s="585"/>
    </row>
    <row r="350" spans="1:22" ht="24.6" customHeight="1">
      <c r="A350" s="1250" t="s">
        <v>3703</v>
      </c>
      <c r="B350" s="1207"/>
      <c r="C350" s="1207"/>
      <c r="D350" s="1207"/>
      <c r="E350" s="1207"/>
      <c r="F350" s="1207"/>
      <c r="G350" s="1207"/>
      <c r="H350" s="1207"/>
      <c r="I350" s="1207"/>
      <c r="J350" s="1207"/>
      <c r="K350" s="1207"/>
      <c r="L350" s="1207"/>
      <c r="M350" s="1207"/>
      <c r="N350" s="1207"/>
      <c r="O350" s="1207"/>
      <c r="P350" s="588">
        <f>SUM(P349)</f>
        <v>2000000</v>
      </c>
      <c r="Q350" s="588">
        <f>SUM(Q349)</f>
        <v>0</v>
      </c>
      <c r="R350" s="588">
        <f>SUM(R349)</f>
        <v>2000000</v>
      </c>
      <c r="S350" s="599"/>
      <c r="T350" s="585"/>
      <c r="U350" s="585"/>
      <c r="V350" s="585"/>
    </row>
    <row r="351" spans="1:22" ht="103.5" customHeight="1">
      <c r="A351" s="593" t="s">
        <v>3704</v>
      </c>
      <c r="B351" s="607"/>
      <c r="C351" s="607"/>
      <c r="D351" s="607"/>
      <c r="E351" s="607"/>
      <c r="F351" s="607"/>
      <c r="G351" s="607"/>
      <c r="H351" s="607"/>
      <c r="I351" s="607"/>
      <c r="J351" s="1249" t="s">
        <v>3608</v>
      </c>
      <c r="K351" s="1249"/>
      <c r="L351" s="1249"/>
      <c r="M351" s="1249"/>
      <c r="N351" s="1249"/>
      <c r="O351" s="1249"/>
      <c r="P351" s="588">
        <v>93287630.370000005</v>
      </c>
      <c r="Q351" s="588">
        <v>0</v>
      </c>
      <c r="R351" s="588">
        <f t="shared" si="9"/>
        <v>93287630.370000005</v>
      </c>
      <c r="S351" s="599" t="s">
        <v>3609</v>
      </c>
      <c r="T351" s="585"/>
      <c r="U351" s="585"/>
      <c r="V351" s="585"/>
    </row>
    <row r="352" spans="1:22" ht="24" customHeight="1">
      <c r="A352" s="1251" t="s">
        <v>3705</v>
      </c>
      <c r="B352" s="1223"/>
      <c r="C352" s="1223"/>
      <c r="D352" s="1223"/>
      <c r="E352" s="1223"/>
      <c r="F352" s="1223"/>
      <c r="G352" s="1223"/>
      <c r="H352" s="1223"/>
      <c r="I352" s="1223"/>
      <c r="J352" s="1223"/>
      <c r="K352" s="1223"/>
      <c r="L352" s="1223"/>
      <c r="M352" s="1223"/>
      <c r="N352" s="1223"/>
      <c r="O352" s="1223"/>
      <c r="P352" s="588">
        <f>SUM(P351)</f>
        <v>93287630.370000005</v>
      </c>
      <c r="Q352" s="588">
        <f>SUM(Q351)</f>
        <v>0</v>
      </c>
      <c r="R352" s="588">
        <f>SUM(R351)</f>
        <v>93287630.370000005</v>
      </c>
      <c r="S352" s="599"/>
      <c r="T352" s="585"/>
      <c r="U352" s="585"/>
      <c r="V352" s="585"/>
    </row>
    <row r="353" spans="1:22" ht="24" customHeight="1">
      <c r="A353" s="1240" t="s">
        <v>3706</v>
      </c>
      <c r="B353" s="608"/>
      <c r="C353" s="608"/>
      <c r="D353" s="608"/>
      <c r="E353" s="608"/>
      <c r="F353" s="608"/>
      <c r="G353" s="608"/>
      <c r="H353" s="608"/>
      <c r="I353" s="608"/>
      <c r="J353" s="1245" t="s">
        <v>1767</v>
      </c>
      <c r="K353" s="1252"/>
      <c r="L353" s="1252"/>
      <c r="M353" s="1252"/>
      <c r="N353" s="1252"/>
      <c r="O353" s="1252"/>
      <c r="P353" s="588">
        <v>1200000</v>
      </c>
      <c r="Q353" s="588">
        <v>0</v>
      </c>
      <c r="R353" s="588">
        <f t="shared" si="9"/>
        <v>1200000</v>
      </c>
      <c r="S353" s="1239" t="s">
        <v>3707</v>
      </c>
      <c r="T353" s="585"/>
      <c r="U353" s="585"/>
      <c r="V353" s="585"/>
    </row>
    <row r="354" spans="1:22" ht="24" customHeight="1">
      <c r="A354" s="1240"/>
      <c r="B354" s="608"/>
      <c r="C354" s="608"/>
      <c r="D354" s="608"/>
      <c r="E354" s="608"/>
      <c r="F354" s="608"/>
      <c r="G354" s="608"/>
      <c r="H354" s="608"/>
      <c r="I354" s="608"/>
      <c r="J354" s="1245" t="s">
        <v>3708</v>
      </c>
      <c r="K354" s="1252"/>
      <c r="L354" s="1252"/>
      <c r="M354" s="1252"/>
      <c r="N354" s="1252"/>
      <c r="O354" s="1252"/>
      <c r="P354" s="588">
        <v>1515533</v>
      </c>
      <c r="Q354" s="588">
        <v>0</v>
      </c>
      <c r="R354" s="588">
        <f t="shared" si="9"/>
        <v>1515533</v>
      </c>
      <c r="S354" s="1243"/>
      <c r="T354" s="585"/>
      <c r="U354" s="585"/>
      <c r="V354" s="585"/>
    </row>
    <row r="355" spans="1:22" ht="24" customHeight="1">
      <c r="A355" s="1240"/>
      <c r="B355" s="608"/>
      <c r="C355" s="608"/>
      <c r="D355" s="608"/>
      <c r="E355" s="608"/>
      <c r="F355" s="608"/>
      <c r="G355" s="608"/>
      <c r="H355" s="608"/>
      <c r="I355" s="608"/>
      <c r="J355" s="1245" t="s">
        <v>3604</v>
      </c>
      <c r="K355" s="1252"/>
      <c r="L355" s="1252"/>
      <c r="M355" s="1252"/>
      <c r="N355" s="1252"/>
      <c r="O355" s="1252"/>
      <c r="P355" s="588">
        <v>1183219.3400000001</v>
      </c>
      <c r="Q355" s="588">
        <v>0</v>
      </c>
      <c r="R355" s="588">
        <f t="shared" si="9"/>
        <v>1183219.3400000001</v>
      </c>
      <c r="S355" s="599" t="s">
        <v>3709</v>
      </c>
      <c r="T355" s="585"/>
      <c r="U355" s="585"/>
      <c r="V355" s="585"/>
    </row>
    <row r="356" spans="1:22" ht="24" customHeight="1">
      <c r="A356" s="1240"/>
      <c r="B356" s="608"/>
      <c r="C356" s="608"/>
      <c r="D356" s="608"/>
      <c r="E356" s="608"/>
      <c r="F356" s="608"/>
      <c r="G356" s="608"/>
      <c r="H356" s="608"/>
      <c r="I356" s="608"/>
      <c r="J356" s="1245" t="s">
        <v>3710</v>
      </c>
      <c r="K356" s="1252"/>
      <c r="L356" s="1252"/>
      <c r="M356" s="1252"/>
      <c r="N356" s="1252"/>
      <c r="O356" s="1252"/>
      <c r="P356" s="588">
        <v>419848</v>
      </c>
      <c r="Q356" s="588">
        <v>0</v>
      </c>
      <c r="R356" s="588">
        <f t="shared" si="9"/>
        <v>419848</v>
      </c>
      <c r="S356" s="599" t="s">
        <v>3711</v>
      </c>
      <c r="T356" s="585"/>
      <c r="U356" s="585"/>
      <c r="V356" s="585"/>
    </row>
    <row r="357" spans="1:22" ht="24" customHeight="1">
      <c r="A357" s="1251" t="s">
        <v>3712</v>
      </c>
      <c r="B357" s="1223"/>
      <c r="C357" s="1223"/>
      <c r="D357" s="1223"/>
      <c r="E357" s="1223"/>
      <c r="F357" s="1223"/>
      <c r="G357" s="1223"/>
      <c r="H357" s="1223"/>
      <c r="I357" s="1223"/>
      <c r="J357" s="1223"/>
      <c r="K357" s="1223"/>
      <c r="L357" s="1223"/>
      <c r="M357" s="1223"/>
      <c r="N357" s="1223"/>
      <c r="O357" s="1223"/>
      <c r="P357" s="588">
        <f>SUM(P353:P356)</f>
        <v>4318600.34</v>
      </c>
      <c r="Q357" s="588">
        <f>SUM(Q353:Q356)</f>
        <v>0</v>
      </c>
      <c r="R357" s="588">
        <f>SUM(R353:R356)</f>
        <v>4318600.34</v>
      </c>
      <c r="S357" s="599"/>
      <c r="T357" s="585"/>
      <c r="U357" s="585"/>
      <c r="V357" s="585"/>
    </row>
    <row r="358" spans="1:22" ht="102.75" customHeight="1">
      <c r="A358" s="605" t="s">
        <v>3713</v>
      </c>
      <c r="B358" s="608"/>
      <c r="C358" s="608"/>
      <c r="D358" s="608"/>
      <c r="E358" s="608"/>
      <c r="F358" s="608"/>
      <c r="G358" s="608"/>
      <c r="H358" s="608"/>
      <c r="I358" s="608"/>
      <c r="J358" s="1245" t="s">
        <v>3608</v>
      </c>
      <c r="K358" s="1245"/>
      <c r="L358" s="1245"/>
      <c r="M358" s="1245"/>
      <c r="N358" s="1245"/>
      <c r="O358" s="1245"/>
      <c r="P358" s="588">
        <f>71018725.32-12500000-20000000-3347714.17</f>
        <v>35171011.149999991</v>
      </c>
      <c r="Q358" s="588">
        <v>0</v>
      </c>
      <c r="R358" s="588">
        <f t="shared" si="9"/>
        <v>35171011.149999991</v>
      </c>
      <c r="S358" s="595" t="s">
        <v>3714</v>
      </c>
      <c r="T358" s="585"/>
      <c r="U358" s="585"/>
      <c r="V358" s="585"/>
    </row>
    <row r="359" spans="1:22" ht="28.5" customHeight="1">
      <c r="A359" s="1251" t="s">
        <v>3715</v>
      </c>
      <c r="B359" s="1223"/>
      <c r="C359" s="1223"/>
      <c r="D359" s="1223"/>
      <c r="E359" s="1223"/>
      <c r="F359" s="1223"/>
      <c r="G359" s="1223"/>
      <c r="H359" s="1223"/>
      <c r="I359" s="1223"/>
      <c r="J359" s="1223"/>
      <c r="K359" s="1223"/>
      <c r="L359" s="1223"/>
      <c r="M359" s="1223"/>
      <c r="N359" s="1223"/>
      <c r="O359" s="1223"/>
      <c r="P359" s="588">
        <f>SUM(P358)</f>
        <v>35171011.149999991</v>
      </c>
      <c r="Q359" s="588">
        <f>SUM(Q358)</f>
        <v>0</v>
      </c>
      <c r="R359" s="588">
        <f>SUM(R358)</f>
        <v>35171011.149999991</v>
      </c>
      <c r="S359" s="599"/>
      <c r="T359" s="585"/>
      <c r="U359" s="585"/>
      <c r="V359" s="585"/>
    </row>
    <row r="360" spans="1:22" ht="38.1" customHeight="1">
      <c r="A360" s="1240" t="s">
        <v>3716</v>
      </c>
      <c r="B360" s="608"/>
      <c r="C360" s="608"/>
      <c r="D360" s="608"/>
      <c r="E360" s="608"/>
      <c r="F360" s="608"/>
      <c r="G360" s="608"/>
      <c r="H360" s="608"/>
      <c r="I360" s="608"/>
      <c r="J360" s="1245" t="s">
        <v>3717</v>
      </c>
      <c r="K360" s="1252"/>
      <c r="L360" s="1252"/>
      <c r="M360" s="1252"/>
      <c r="N360" s="1252"/>
      <c r="O360" s="1252"/>
      <c r="P360" s="588">
        <f>2122642.92+1247962.53</f>
        <v>3370605.45</v>
      </c>
      <c r="Q360" s="588">
        <v>0</v>
      </c>
      <c r="R360" s="588">
        <f t="shared" si="9"/>
        <v>3370605.45</v>
      </c>
      <c r="S360" s="599"/>
      <c r="T360" s="585"/>
      <c r="U360" s="585"/>
      <c r="V360" s="585"/>
    </row>
    <row r="361" spans="1:22" ht="38.1" customHeight="1">
      <c r="A361" s="1184"/>
      <c r="B361" s="608"/>
      <c r="C361" s="608"/>
      <c r="D361" s="608"/>
      <c r="E361" s="608"/>
      <c r="F361" s="608"/>
      <c r="G361" s="608"/>
      <c r="H361" s="608"/>
      <c r="I361" s="608"/>
      <c r="J361" s="1245" t="s">
        <v>3718</v>
      </c>
      <c r="K361" s="1252"/>
      <c r="L361" s="1252"/>
      <c r="M361" s="1252"/>
      <c r="N361" s="1252"/>
      <c r="O361" s="1252"/>
      <c r="P361" s="588">
        <v>900807.68000000005</v>
      </c>
      <c r="Q361" s="588">
        <v>0</v>
      </c>
      <c r="R361" s="588">
        <f t="shared" si="9"/>
        <v>900807.68000000005</v>
      </c>
      <c r="S361" s="599"/>
      <c r="T361" s="585"/>
      <c r="U361" s="585"/>
      <c r="V361" s="585"/>
    </row>
    <row r="362" spans="1:22" ht="24" customHeight="1">
      <c r="A362" s="1255" t="s">
        <v>3719</v>
      </c>
      <c r="B362" s="1255"/>
      <c r="C362" s="1255"/>
      <c r="D362" s="1255"/>
      <c r="E362" s="1255"/>
      <c r="F362" s="1255"/>
      <c r="G362" s="1255"/>
      <c r="H362" s="1255"/>
      <c r="I362" s="1255"/>
      <c r="J362" s="1255"/>
      <c r="K362" s="1255"/>
      <c r="L362" s="1255"/>
      <c r="M362" s="1255"/>
      <c r="N362" s="1255"/>
      <c r="O362" s="1255"/>
      <c r="P362" s="588">
        <f>SUM(P360:P361)</f>
        <v>4271413.13</v>
      </c>
      <c r="Q362" s="588">
        <f>SUM(Q360:Q361)</f>
        <v>0</v>
      </c>
      <c r="R362" s="588">
        <f>SUM(R360:R361)</f>
        <v>4271413.13</v>
      </c>
      <c r="S362" s="599"/>
      <c r="T362" s="585"/>
      <c r="U362" s="585"/>
      <c r="V362" s="585"/>
    </row>
    <row r="363" spans="1:22" ht="38.1" customHeight="1">
      <c r="A363" s="1240" t="s">
        <v>3720</v>
      </c>
      <c r="B363" s="608"/>
      <c r="C363" s="608"/>
      <c r="D363" s="608"/>
      <c r="E363" s="608"/>
      <c r="F363" s="608"/>
      <c r="G363" s="608"/>
      <c r="H363" s="608"/>
      <c r="I363" s="608"/>
      <c r="J363" s="1245" t="s">
        <v>3721</v>
      </c>
      <c r="K363" s="1252"/>
      <c r="L363" s="1252"/>
      <c r="M363" s="1252"/>
      <c r="N363" s="1252"/>
      <c r="O363" s="1252"/>
      <c r="P363" s="588">
        <v>0</v>
      </c>
      <c r="Q363" s="588">
        <f>270+2388</f>
        <v>2658</v>
      </c>
      <c r="R363" s="588">
        <f t="shared" si="9"/>
        <v>-2658</v>
      </c>
      <c r="S363" s="599"/>
      <c r="T363" s="585"/>
      <c r="U363" s="585"/>
      <c r="V363" s="585"/>
    </row>
    <row r="364" spans="1:22" ht="38.1" customHeight="1">
      <c r="A364" s="1223"/>
      <c r="B364" s="608"/>
      <c r="C364" s="608"/>
      <c r="D364" s="608"/>
      <c r="E364" s="608"/>
      <c r="F364" s="608"/>
      <c r="G364" s="608"/>
      <c r="H364" s="608"/>
      <c r="I364" s="608"/>
      <c r="J364" s="1245" t="s">
        <v>3722</v>
      </c>
      <c r="K364" s="1252"/>
      <c r="L364" s="1252"/>
      <c r="M364" s="1252"/>
      <c r="N364" s="1252"/>
      <c r="O364" s="1252"/>
      <c r="P364" s="588">
        <v>0</v>
      </c>
      <c r="Q364" s="588">
        <v>7</v>
      </c>
      <c r="R364" s="588">
        <f t="shared" si="9"/>
        <v>-7</v>
      </c>
      <c r="S364" s="599"/>
      <c r="T364" s="585"/>
      <c r="U364" s="585"/>
      <c r="V364" s="585"/>
    </row>
    <row r="365" spans="1:22" ht="24" customHeight="1">
      <c r="A365" s="1255" t="s">
        <v>3723</v>
      </c>
      <c r="B365" s="1255"/>
      <c r="C365" s="1255"/>
      <c r="D365" s="1255"/>
      <c r="E365" s="1255"/>
      <c r="F365" s="1255"/>
      <c r="G365" s="1255"/>
      <c r="H365" s="1255"/>
      <c r="I365" s="1255"/>
      <c r="J365" s="1255"/>
      <c r="K365" s="1255"/>
      <c r="L365" s="1255"/>
      <c r="M365" s="1255"/>
      <c r="N365" s="1255"/>
      <c r="O365" s="1255"/>
      <c r="P365" s="588">
        <f>SUM(P363:P364)</f>
        <v>0</v>
      </c>
      <c r="Q365" s="588">
        <f>SUM(Q363:Q364)</f>
        <v>2665</v>
      </c>
      <c r="R365" s="588">
        <f>SUM(R363:R364)</f>
        <v>-2665</v>
      </c>
      <c r="S365" s="599"/>
      <c r="T365" s="585"/>
      <c r="U365" s="585"/>
      <c r="V365" s="585"/>
    </row>
    <row r="366" spans="1:22" ht="20.25" customHeight="1" thickBot="1">
      <c r="A366" s="609"/>
      <c r="B366" s="610"/>
      <c r="C366" s="610"/>
      <c r="D366" s="610"/>
      <c r="E366" s="610"/>
      <c r="F366" s="610"/>
      <c r="G366" s="610"/>
      <c r="H366" s="610"/>
      <c r="I366" s="610"/>
      <c r="J366" s="610"/>
      <c r="K366" s="610"/>
      <c r="L366" s="610"/>
      <c r="M366" s="610"/>
      <c r="N366" s="610"/>
      <c r="O366" s="610"/>
      <c r="P366" s="611"/>
      <c r="Q366" s="611"/>
      <c r="R366" s="611"/>
      <c r="S366" s="612"/>
      <c r="T366" s="585"/>
      <c r="U366" s="585"/>
      <c r="V366" s="585"/>
    </row>
    <row r="367" spans="1:22" ht="24.6" customHeight="1">
      <c r="A367" s="1256" t="s">
        <v>3724</v>
      </c>
      <c r="B367" s="1257"/>
      <c r="C367" s="1257"/>
      <c r="D367" s="1257"/>
      <c r="E367" s="1257"/>
      <c r="F367" s="1257"/>
      <c r="G367" s="1257"/>
      <c r="H367" s="1257"/>
      <c r="I367" s="1257"/>
      <c r="J367" s="1257"/>
      <c r="K367" s="1257"/>
      <c r="L367" s="1257"/>
      <c r="M367" s="1257"/>
      <c r="N367" s="1257"/>
      <c r="O367" s="1257"/>
      <c r="P367" s="613">
        <f>P21+P34+P39+P42+P97+P105+P118+P249+P348+P350+P352+P357+P359+P362+P365</f>
        <v>643148079.86000001</v>
      </c>
      <c r="Q367" s="613">
        <f>Q21+Q34+Q39+Q42+Q97+Q105+Q118+Q249+Q348+Q350+Q352+Q357+Q359+Q362+Q365</f>
        <v>292550731.56</v>
      </c>
      <c r="R367" s="613">
        <f>R21+R34+R39+R42+R97+R105+R118+R249+R348+R350+R352+R357+R359+R362+R365</f>
        <v>350597348.29999995</v>
      </c>
      <c r="S367" s="614"/>
      <c r="T367" s="585"/>
      <c r="U367" s="585"/>
      <c r="V367" s="585"/>
    </row>
    <row r="368" spans="1:22" ht="24.6" customHeight="1">
      <c r="A368" s="1258" t="s">
        <v>3725</v>
      </c>
      <c r="B368" s="1259"/>
      <c r="C368" s="1259"/>
      <c r="D368" s="1259"/>
      <c r="E368" s="1259"/>
      <c r="F368" s="1259"/>
      <c r="G368" s="1259"/>
      <c r="H368" s="1259"/>
      <c r="I368" s="1259"/>
      <c r="J368" s="1259"/>
      <c r="K368" s="1259"/>
      <c r="L368" s="1259"/>
      <c r="M368" s="1259"/>
      <c r="N368" s="1259"/>
      <c r="O368" s="1259"/>
      <c r="P368" s="1260"/>
      <c r="Q368" s="1261"/>
      <c r="R368" s="615">
        <v>149696547.62</v>
      </c>
      <c r="S368" s="616"/>
      <c r="T368" s="585"/>
      <c r="U368" s="585"/>
      <c r="V368" s="585"/>
    </row>
    <row r="369" spans="1:22" ht="24.6" customHeight="1">
      <c r="A369" s="1258" t="s">
        <v>3726</v>
      </c>
      <c r="B369" s="1259"/>
      <c r="C369" s="1259"/>
      <c r="D369" s="1259"/>
      <c r="E369" s="1259"/>
      <c r="F369" s="1259"/>
      <c r="G369" s="1259"/>
      <c r="H369" s="1259"/>
      <c r="I369" s="1259"/>
      <c r="J369" s="1259"/>
      <c r="K369" s="1259"/>
      <c r="L369" s="1259"/>
      <c r="M369" s="1259"/>
      <c r="N369" s="1259"/>
      <c r="O369" s="1259"/>
      <c r="P369" s="1260"/>
      <c r="Q369" s="1261"/>
      <c r="R369" s="615">
        <f>R367-R368</f>
        <v>200900800.67999995</v>
      </c>
      <c r="S369" s="616"/>
      <c r="T369" s="585"/>
      <c r="U369" s="585"/>
      <c r="V369" s="585"/>
    </row>
    <row r="370" spans="1:22" ht="24.6" customHeight="1">
      <c r="A370" s="1262"/>
      <c r="B370" s="617"/>
      <c r="C370" s="617"/>
      <c r="D370" s="617"/>
      <c r="E370" s="618"/>
      <c r="F370" s="618"/>
      <c r="G370" s="618"/>
      <c r="H370" s="618"/>
      <c r="I370" s="618"/>
      <c r="J370" s="1245" t="s">
        <v>3727</v>
      </c>
      <c r="K370" s="1265"/>
      <c r="L370" s="1265"/>
      <c r="M370" s="1265"/>
      <c r="N370" s="1265"/>
      <c r="O370" s="1265"/>
      <c r="P370" s="1265"/>
      <c r="Q370" s="1265"/>
      <c r="R370" s="588">
        <f>R21</f>
        <v>42316529.750000007</v>
      </c>
      <c r="S370" s="619"/>
      <c r="T370" s="585"/>
      <c r="U370" s="585"/>
      <c r="V370" s="585"/>
    </row>
    <row r="371" spans="1:22" ht="24.6" customHeight="1">
      <c r="A371" s="1263"/>
      <c r="B371" s="617"/>
      <c r="C371" s="617"/>
      <c r="D371" s="617"/>
      <c r="E371" s="618"/>
      <c r="F371" s="618"/>
      <c r="G371" s="618"/>
      <c r="H371" s="618"/>
      <c r="I371" s="618"/>
      <c r="J371" s="1245" t="s">
        <v>3728</v>
      </c>
      <c r="K371" s="1265"/>
      <c r="L371" s="1265"/>
      <c r="M371" s="1265"/>
      <c r="N371" s="1265"/>
      <c r="O371" s="1265"/>
      <c r="P371" s="1265"/>
      <c r="Q371" s="1265"/>
      <c r="R371" s="588">
        <f>R23+R33</f>
        <v>16500000</v>
      </c>
      <c r="S371" s="619"/>
      <c r="T371" s="585"/>
      <c r="U371" s="585"/>
      <c r="V371" s="585"/>
    </row>
    <row r="372" spans="1:22" ht="24" customHeight="1">
      <c r="A372" s="1263"/>
      <c r="B372" s="617"/>
      <c r="C372" s="617"/>
      <c r="D372" s="617"/>
      <c r="E372" s="618"/>
      <c r="F372" s="618"/>
      <c r="G372" s="618"/>
      <c r="H372" s="618"/>
      <c r="I372" s="618"/>
      <c r="J372" s="1245" t="s">
        <v>3729</v>
      </c>
      <c r="K372" s="1265"/>
      <c r="L372" s="1265"/>
      <c r="M372" s="1265"/>
      <c r="N372" s="1265"/>
      <c r="O372" s="1265"/>
      <c r="P372" s="1265"/>
      <c r="Q372" s="1265"/>
      <c r="R372" s="588">
        <f>R32+R38+R40+R102+R114+R117+R231+R239</f>
        <v>92602761.989999995</v>
      </c>
      <c r="S372" s="620" t="s">
        <v>3730</v>
      </c>
      <c r="T372" s="585"/>
      <c r="U372" s="585"/>
      <c r="V372" s="585"/>
    </row>
    <row r="373" spans="1:22" ht="24" customHeight="1">
      <c r="A373" s="1263"/>
      <c r="B373" s="617"/>
      <c r="C373" s="617"/>
      <c r="D373" s="617"/>
      <c r="E373" s="618"/>
      <c r="F373" s="618"/>
      <c r="G373" s="618"/>
      <c r="H373" s="618"/>
      <c r="I373" s="618"/>
      <c r="J373" s="1266" t="s">
        <v>3731</v>
      </c>
      <c r="K373" s="1265"/>
      <c r="L373" s="1265"/>
      <c r="M373" s="1265"/>
      <c r="N373" s="1265"/>
      <c r="O373" s="1265"/>
      <c r="P373" s="1265"/>
      <c r="Q373" s="1265"/>
      <c r="R373" s="588">
        <f>R97</f>
        <v>150000</v>
      </c>
      <c r="S373" s="621"/>
      <c r="T373" s="585"/>
      <c r="U373" s="585"/>
      <c r="V373" s="585"/>
    </row>
    <row r="374" spans="1:22" ht="24" customHeight="1">
      <c r="A374" s="1263"/>
      <c r="B374" s="617"/>
      <c r="C374" s="617"/>
      <c r="D374" s="617"/>
      <c r="E374" s="618"/>
      <c r="F374" s="618"/>
      <c r="G374" s="618"/>
      <c r="H374" s="618"/>
      <c r="I374" s="618"/>
      <c r="J374" s="1266" t="s">
        <v>3732</v>
      </c>
      <c r="K374" s="1265"/>
      <c r="L374" s="1265"/>
      <c r="M374" s="1265"/>
      <c r="N374" s="1265"/>
      <c r="O374" s="1265"/>
      <c r="P374" s="1265"/>
      <c r="Q374" s="1265"/>
      <c r="R374" s="588">
        <f>R99+R103+R104</f>
        <v>31852395</v>
      </c>
      <c r="S374" s="620" t="s">
        <v>3733</v>
      </c>
      <c r="T374" s="585"/>
      <c r="U374" s="585"/>
      <c r="V374" s="585"/>
    </row>
    <row r="375" spans="1:22" ht="24" customHeight="1">
      <c r="A375" s="1263"/>
      <c r="B375" s="617"/>
      <c r="C375" s="617"/>
      <c r="D375" s="617"/>
      <c r="E375" s="618"/>
      <c r="F375" s="618"/>
      <c r="G375" s="618"/>
      <c r="H375" s="618"/>
      <c r="I375" s="618"/>
      <c r="J375" s="1266" t="s">
        <v>3734</v>
      </c>
      <c r="K375" s="1265"/>
      <c r="L375" s="1265"/>
      <c r="M375" s="1265"/>
      <c r="N375" s="1265"/>
      <c r="O375" s="1265"/>
      <c r="P375" s="1265"/>
      <c r="Q375" s="1265"/>
      <c r="R375" s="622">
        <f>R110+R112</f>
        <v>17300000</v>
      </c>
      <c r="S375" s="621"/>
      <c r="T375" s="585"/>
      <c r="U375" s="585"/>
      <c r="V375" s="585"/>
    </row>
    <row r="376" spans="1:22" ht="24" customHeight="1">
      <c r="A376" s="1263"/>
      <c r="B376" s="617"/>
      <c r="C376" s="617"/>
      <c r="D376" s="617"/>
      <c r="E376" s="618"/>
      <c r="F376" s="618"/>
      <c r="G376" s="618"/>
      <c r="H376" s="618"/>
      <c r="I376" s="618"/>
      <c r="J376" s="1266" t="s">
        <v>3735</v>
      </c>
      <c r="K376" s="1265"/>
      <c r="L376" s="1265"/>
      <c r="M376" s="1265"/>
      <c r="N376" s="1265"/>
      <c r="O376" s="1265"/>
      <c r="P376" s="1265"/>
      <c r="Q376" s="1265"/>
      <c r="R376" s="622">
        <f>R137+R224+R226+R229+R245+R246+R247+R248</f>
        <v>2700985</v>
      </c>
      <c r="S376" s="621"/>
      <c r="T376" s="585"/>
      <c r="U376" s="585"/>
      <c r="V376" s="585"/>
    </row>
    <row r="377" spans="1:22" ht="24" customHeight="1">
      <c r="A377" s="1263"/>
      <c r="B377" s="623"/>
      <c r="C377" s="623"/>
      <c r="D377" s="623"/>
      <c r="E377" s="623"/>
      <c r="F377" s="623"/>
      <c r="G377" s="623"/>
      <c r="H377" s="623"/>
      <c r="I377" s="623"/>
      <c r="J377" s="1266" t="s">
        <v>3736</v>
      </c>
      <c r="K377" s="1265"/>
      <c r="L377" s="1265"/>
      <c r="M377" s="1265"/>
      <c r="N377" s="1265"/>
      <c r="O377" s="1265"/>
      <c r="P377" s="1265"/>
      <c r="Q377" s="1265"/>
      <c r="R377" s="622">
        <f>R348</f>
        <v>2174785</v>
      </c>
      <c r="S377" s="620"/>
      <c r="T377" s="585"/>
      <c r="U377" s="585"/>
      <c r="V377" s="585"/>
    </row>
    <row r="378" spans="1:22" ht="24" customHeight="1">
      <c r="A378" s="1263"/>
      <c r="B378" s="623"/>
      <c r="C378" s="623"/>
      <c r="D378" s="623"/>
      <c r="E378" s="623"/>
      <c r="F378" s="623"/>
      <c r="G378" s="623"/>
      <c r="H378" s="623"/>
      <c r="I378" s="623"/>
      <c r="J378" s="1266" t="s">
        <v>3737</v>
      </c>
      <c r="K378" s="1265"/>
      <c r="L378" s="1265"/>
      <c r="M378" s="1265"/>
      <c r="N378" s="1265"/>
      <c r="O378" s="1265"/>
      <c r="P378" s="1265"/>
      <c r="Q378" s="1265"/>
      <c r="R378" s="622">
        <f>R350</f>
        <v>2000000</v>
      </c>
      <c r="S378" s="620"/>
      <c r="T378" s="585"/>
      <c r="U378" s="585"/>
      <c r="V378" s="585"/>
    </row>
    <row r="379" spans="1:22" ht="24" customHeight="1">
      <c r="A379" s="1263"/>
      <c r="B379" s="623"/>
      <c r="C379" s="623"/>
      <c r="D379" s="623"/>
      <c r="E379" s="623"/>
      <c r="F379" s="623"/>
      <c r="G379" s="623"/>
      <c r="H379" s="623"/>
      <c r="I379" s="623"/>
      <c r="J379" s="1266" t="s">
        <v>3738</v>
      </c>
      <c r="K379" s="1265"/>
      <c r="L379" s="1265"/>
      <c r="M379" s="1265"/>
      <c r="N379" s="1265"/>
      <c r="O379" s="1265"/>
      <c r="P379" s="1265"/>
      <c r="Q379" s="1265"/>
      <c r="R379" s="622">
        <f>R37</f>
        <v>5096450</v>
      </c>
      <c r="S379" s="620"/>
      <c r="T379" s="585"/>
      <c r="U379" s="585"/>
      <c r="V379" s="585"/>
    </row>
    <row r="380" spans="1:22" ht="24" customHeight="1">
      <c r="A380" s="1263"/>
      <c r="B380" s="623"/>
      <c r="C380" s="623"/>
      <c r="D380" s="623"/>
      <c r="E380" s="623"/>
      <c r="F380" s="623"/>
      <c r="G380" s="623"/>
      <c r="H380" s="623"/>
      <c r="I380" s="623"/>
      <c r="J380" s="1245" t="s">
        <v>3739</v>
      </c>
      <c r="K380" s="1265"/>
      <c r="L380" s="1265"/>
      <c r="M380" s="1265"/>
      <c r="N380" s="1265"/>
      <c r="O380" s="1265"/>
      <c r="P380" s="1265"/>
      <c r="Q380" s="1265"/>
      <c r="R380" s="588">
        <f>R41</f>
        <v>857451.5700000003</v>
      </c>
      <c r="S380" s="621"/>
      <c r="T380" s="585"/>
      <c r="U380" s="585"/>
      <c r="V380" s="585"/>
    </row>
    <row r="381" spans="1:22" ht="24" customHeight="1">
      <c r="A381" s="1263"/>
      <c r="B381" s="623"/>
      <c r="C381" s="623"/>
      <c r="D381" s="623"/>
      <c r="E381" s="623"/>
      <c r="F381" s="623"/>
      <c r="G381" s="623"/>
      <c r="H381" s="623"/>
      <c r="I381" s="623"/>
      <c r="J381" s="1266" t="s">
        <v>3740</v>
      </c>
      <c r="K381" s="1265"/>
      <c r="L381" s="1265"/>
      <c r="M381" s="1265"/>
      <c r="N381" s="1265"/>
      <c r="O381" s="1265"/>
      <c r="P381" s="1265"/>
      <c r="Q381" s="1265"/>
      <c r="R381" s="622">
        <f>R352</f>
        <v>93287630.370000005</v>
      </c>
      <c r="S381" s="620"/>
      <c r="T381" s="585"/>
      <c r="U381" s="585"/>
      <c r="V381" s="585"/>
    </row>
    <row r="382" spans="1:22" ht="24" customHeight="1">
      <c r="A382" s="1263"/>
      <c r="B382" s="623"/>
      <c r="C382" s="623"/>
      <c r="D382" s="623"/>
      <c r="E382" s="623"/>
      <c r="F382" s="623"/>
      <c r="G382" s="623"/>
      <c r="H382" s="623"/>
      <c r="I382" s="623"/>
      <c r="J382" s="1266" t="s">
        <v>3741</v>
      </c>
      <c r="K382" s="1265"/>
      <c r="L382" s="1265"/>
      <c r="M382" s="1265"/>
      <c r="N382" s="1265"/>
      <c r="O382" s="1265"/>
      <c r="P382" s="1265"/>
      <c r="Q382" s="1265"/>
      <c r="R382" s="622">
        <f>R357</f>
        <v>4318600.34</v>
      </c>
      <c r="S382" s="620"/>
      <c r="T382" s="585"/>
      <c r="U382" s="585"/>
      <c r="V382" s="585"/>
    </row>
    <row r="383" spans="1:22" ht="24" customHeight="1">
      <c r="A383" s="1263"/>
      <c r="B383" s="623"/>
      <c r="C383" s="623"/>
      <c r="D383" s="623"/>
      <c r="E383" s="623"/>
      <c r="F383" s="623"/>
      <c r="G383" s="623"/>
      <c r="H383" s="623"/>
      <c r="I383" s="623"/>
      <c r="J383" s="1266" t="s">
        <v>3742</v>
      </c>
      <c r="K383" s="1265"/>
      <c r="L383" s="1265"/>
      <c r="M383" s="1265"/>
      <c r="N383" s="1265"/>
      <c r="O383" s="1265"/>
      <c r="P383" s="1265"/>
      <c r="Q383" s="1265"/>
      <c r="R383" s="622">
        <f>R359</f>
        <v>35171011.149999991</v>
      </c>
      <c r="S383" s="620"/>
      <c r="T383" s="585"/>
      <c r="U383" s="585"/>
      <c r="V383" s="585"/>
    </row>
    <row r="384" spans="1:22" ht="24" customHeight="1" thickBot="1">
      <c r="A384" s="1264"/>
      <c r="B384" s="624"/>
      <c r="C384" s="624"/>
      <c r="D384" s="624"/>
      <c r="E384" s="624"/>
      <c r="F384" s="624"/>
      <c r="G384" s="624"/>
      <c r="H384" s="624"/>
      <c r="I384" s="624"/>
      <c r="J384" s="1267" t="s">
        <v>3743</v>
      </c>
      <c r="K384" s="1268"/>
      <c r="L384" s="1268"/>
      <c r="M384" s="1268"/>
      <c r="N384" s="1268"/>
      <c r="O384" s="1268"/>
      <c r="P384" s="1268"/>
      <c r="Q384" s="1268"/>
      <c r="R384" s="625">
        <f>R362+R365</f>
        <v>4268748.13</v>
      </c>
      <c r="S384" s="626"/>
      <c r="T384" s="585"/>
      <c r="U384" s="585"/>
      <c r="V384" s="585"/>
    </row>
    <row r="385" spans="1:22">
      <c r="A385" s="627"/>
      <c r="B385" s="627"/>
      <c r="C385" s="627"/>
      <c r="D385" s="627"/>
      <c r="E385" s="627"/>
      <c r="F385" s="627"/>
      <c r="G385" s="627"/>
      <c r="H385" s="627"/>
      <c r="I385" s="627"/>
      <c r="J385" s="627"/>
      <c r="K385" s="627"/>
      <c r="L385" s="627"/>
      <c r="M385" s="627"/>
      <c r="N385" s="627"/>
      <c r="O385" s="627"/>
      <c r="P385" s="627"/>
      <c r="Q385" s="627"/>
      <c r="R385" s="585"/>
      <c r="S385" s="585"/>
      <c r="T385" s="585"/>
      <c r="U385" s="585"/>
      <c r="V385" s="585"/>
    </row>
    <row r="386" spans="1:22">
      <c r="A386" s="627"/>
      <c r="B386" s="627"/>
      <c r="C386" s="627"/>
      <c r="D386" s="627"/>
      <c r="E386" s="627"/>
      <c r="F386" s="627"/>
      <c r="G386" s="627"/>
      <c r="H386" s="627"/>
      <c r="I386" s="627"/>
      <c r="J386" s="627"/>
      <c r="K386" s="627"/>
      <c r="L386" s="627"/>
      <c r="M386" s="627"/>
      <c r="N386" s="627"/>
      <c r="O386" s="627"/>
      <c r="P386" s="627"/>
      <c r="Q386" s="627"/>
      <c r="R386" s="585"/>
      <c r="S386" s="585"/>
      <c r="T386" s="585"/>
      <c r="U386" s="585"/>
      <c r="V386" s="585"/>
    </row>
    <row r="387" spans="1:22">
      <c r="A387" s="627"/>
      <c r="B387" s="627"/>
      <c r="C387" s="627"/>
      <c r="D387" s="627"/>
      <c r="E387" s="627"/>
      <c r="F387" s="627"/>
      <c r="G387" s="627"/>
      <c r="H387" s="627"/>
      <c r="I387" s="627"/>
      <c r="J387" s="627"/>
      <c r="K387" s="627"/>
      <c r="L387" s="627"/>
      <c r="M387" s="627"/>
      <c r="N387" s="627"/>
      <c r="O387" s="627"/>
      <c r="P387" s="627"/>
      <c r="Q387" s="627"/>
      <c r="R387" s="585"/>
      <c r="S387" s="585"/>
      <c r="T387" s="585"/>
      <c r="U387" s="585"/>
      <c r="V387" s="585"/>
    </row>
    <row r="388" spans="1:22">
      <c r="A388" s="627"/>
      <c r="B388" s="627"/>
      <c r="C388" s="627"/>
      <c r="D388" s="627"/>
      <c r="E388" s="627"/>
      <c r="F388" s="627"/>
      <c r="G388" s="627"/>
      <c r="H388" s="627"/>
      <c r="I388" s="627"/>
      <c r="J388" s="627"/>
      <c r="K388" s="627"/>
      <c r="L388" s="627"/>
      <c r="M388" s="627"/>
      <c r="N388" s="627"/>
      <c r="O388" s="627"/>
      <c r="P388" s="627"/>
      <c r="Q388" s="627"/>
      <c r="R388" s="585"/>
      <c r="S388" s="585"/>
      <c r="T388" s="585"/>
      <c r="U388" s="585"/>
      <c r="V388" s="585"/>
    </row>
    <row r="389" spans="1:22">
      <c r="A389" s="627"/>
      <c r="B389" s="627"/>
      <c r="C389" s="627"/>
      <c r="D389" s="627"/>
      <c r="E389" s="627"/>
      <c r="F389" s="627"/>
      <c r="G389" s="627"/>
      <c r="H389" s="627"/>
      <c r="I389" s="627"/>
      <c r="J389" s="627"/>
      <c r="K389" s="627"/>
      <c r="L389" s="627"/>
      <c r="M389" s="627"/>
      <c r="N389" s="627"/>
      <c r="O389" s="627"/>
      <c r="P389" s="627"/>
      <c r="Q389" s="627"/>
      <c r="R389" s="585"/>
      <c r="S389" s="585"/>
      <c r="T389" s="585"/>
      <c r="U389" s="585"/>
      <c r="V389" s="585"/>
    </row>
    <row r="390" spans="1:22">
      <c r="A390" s="627"/>
      <c r="B390" s="627"/>
      <c r="C390" s="627"/>
      <c r="D390" s="627"/>
      <c r="E390" s="627"/>
      <c r="F390" s="627"/>
      <c r="G390" s="627"/>
      <c r="H390" s="627"/>
      <c r="I390" s="627"/>
      <c r="J390" s="627"/>
      <c r="K390" s="627"/>
      <c r="L390" s="627"/>
      <c r="M390" s="627"/>
      <c r="N390" s="627"/>
      <c r="O390" s="627"/>
      <c r="P390" s="627"/>
      <c r="Q390" s="627"/>
      <c r="R390" s="585"/>
      <c r="S390" s="628"/>
      <c r="T390" s="585"/>
      <c r="U390" s="585"/>
      <c r="V390" s="585"/>
    </row>
    <row r="391" spans="1:22">
      <c r="A391" s="627"/>
      <c r="B391" s="627"/>
      <c r="C391" s="627"/>
      <c r="D391" s="627"/>
      <c r="E391" s="627"/>
      <c r="F391" s="627"/>
      <c r="G391" s="627"/>
      <c r="H391" s="627"/>
      <c r="I391" s="627"/>
      <c r="J391" s="627"/>
      <c r="K391" s="627"/>
      <c r="L391" s="627"/>
      <c r="M391" s="627"/>
      <c r="N391" s="627"/>
      <c r="O391" s="627"/>
      <c r="P391" s="627"/>
      <c r="Q391" s="627"/>
      <c r="R391" s="585"/>
      <c r="S391" s="585"/>
      <c r="T391" s="585"/>
      <c r="U391" s="585"/>
      <c r="V391" s="585"/>
    </row>
    <row r="392" spans="1:22">
      <c r="A392" s="627"/>
      <c r="B392" s="627"/>
      <c r="C392" s="627"/>
      <c r="D392" s="627"/>
      <c r="E392" s="627"/>
      <c r="F392" s="627"/>
      <c r="G392" s="627"/>
      <c r="H392" s="627"/>
      <c r="I392" s="627"/>
      <c r="J392" s="627"/>
      <c r="K392" s="627"/>
      <c r="L392" s="627"/>
      <c r="M392" s="627"/>
      <c r="N392" s="627"/>
      <c r="O392" s="627"/>
      <c r="P392" s="627"/>
      <c r="Q392" s="627"/>
      <c r="R392" s="585"/>
      <c r="S392" s="585"/>
      <c r="T392" s="585"/>
      <c r="U392" s="585"/>
      <c r="V392" s="585"/>
    </row>
    <row r="393" spans="1:22">
      <c r="A393" s="627"/>
      <c r="B393" s="627"/>
      <c r="C393" s="627"/>
      <c r="D393" s="627"/>
      <c r="E393" s="627"/>
      <c r="F393" s="627"/>
      <c r="G393" s="627"/>
      <c r="H393" s="627"/>
      <c r="I393" s="627"/>
      <c r="J393" s="627"/>
      <c r="K393" s="627"/>
      <c r="L393" s="627"/>
      <c r="M393" s="627"/>
      <c r="N393" s="627"/>
      <c r="O393" s="627"/>
      <c r="P393" s="627"/>
      <c r="Q393" s="627"/>
      <c r="R393" s="585"/>
      <c r="S393" s="585"/>
      <c r="T393" s="585"/>
      <c r="U393" s="585"/>
      <c r="V393" s="585"/>
    </row>
    <row r="394" spans="1:22">
      <c r="A394" s="627"/>
      <c r="B394" s="627"/>
      <c r="C394" s="627"/>
      <c r="D394" s="627"/>
      <c r="E394" s="627"/>
      <c r="F394" s="627"/>
      <c r="G394" s="627"/>
      <c r="H394" s="627"/>
      <c r="I394" s="627"/>
      <c r="J394" s="627"/>
      <c r="K394" s="627"/>
      <c r="L394" s="627"/>
      <c r="M394" s="627"/>
      <c r="N394" s="627"/>
      <c r="O394" s="627"/>
      <c r="P394" s="627"/>
      <c r="Q394" s="627"/>
      <c r="R394" s="585"/>
      <c r="S394" s="585"/>
      <c r="T394" s="585"/>
      <c r="U394" s="585"/>
      <c r="V394" s="585"/>
    </row>
    <row r="395" spans="1:22">
      <c r="A395" s="627"/>
      <c r="B395" s="627"/>
      <c r="C395" s="627"/>
      <c r="D395" s="627"/>
      <c r="E395" s="627"/>
      <c r="F395" s="627"/>
      <c r="G395" s="627"/>
      <c r="H395" s="627"/>
      <c r="I395" s="627"/>
      <c r="J395" s="627"/>
      <c r="K395" s="627"/>
      <c r="L395" s="627"/>
      <c r="M395" s="627"/>
      <c r="N395" s="627"/>
      <c r="O395" s="627"/>
      <c r="P395" s="627"/>
      <c r="Q395" s="627"/>
      <c r="R395" s="585"/>
      <c r="S395" s="585"/>
      <c r="T395" s="585"/>
      <c r="U395" s="585"/>
      <c r="V395" s="585"/>
    </row>
    <row r="396" spans="1:22">
      <c r="A396" s="627"/>
      <c r="B396" s="627"/>
      <c r="C396" s="627"/>
      <c r="D396" s="627"/>
      <c r="E396" s="627"/>
      <c r="F396" s="627"/>
      <c r="G396" s="627"/>
      <c r="H396" s="627"/>
      <c r="I396" s="627"/>
      <c r="J396" s="627"/>
      <c r="K396" s="627"/>
      <c r="L396" s="627"/>
      <c r="M396" s="627"/>
      <c r="N396" s="627"/>
      <c r="O396" s="627"/>
      <c r="P396" s="627"/>
      <c r="Q396" s="627"/>
      <c r="R396" s="585"/>
      <c r="S396" s="585"/>
      <c r="T396" s="585"/>
      <c r="U396" s="585"/>
      <c r="V396" s="585"/>
    </row>
    <row r="397" spans="1:22">
      <c r="A397" s="627"/>
      <c r="B397" s="627"/>
      <c r="C397" s="627"/>
      <c r="D397" s="627"/>
      <c r="E397" s="627"/>
      <c r="F397" s="627"/>
      <c r="G397" s="627"/>
      <c r="H397" s="627"/>
      <c r="I397" s="627"/>
      <c r="J397" s="627"/>
      <c r="K397" s="627"/>
      <c r="L397" s="627"/>
      <c r="M397" s="627"/>
      <c r="N397" s="627"/>
      <c r="O397" s="627"/>
      <c r="P397" s="627"/>
      <c r="Q397" s="627"/>
      <c r="R397" s="585"/>
      <c r="S397" s="585"/>
      <c r="T397" s="585"/>
      <c r="U397" s="585"/>
      <c r="V397" s="585"/>
    </row>
    <row r="398" spans="1:22">
      <c r="A398" s="627"/>
      <c r="B398" s="627"/>
      <c r="C398" s="627"/>
      <c r="D398" s="627"/>
      <c r="E398" s="627"/>
      <c r="F398" s="627"/>
      <c r="G398" s="627"/>
      <c r="H398" s="627"/>
      <c r="I398" s="627"/>
      <c r="J398" s="627"/>
      <c r="K398" s="627"/>
      <c r="L398" s="627"/>
      <c r="M398" s="627"/>
      <c r="N398" s="627"/>
      <c r="O398" s="627"/>
      <c r="P398" s="627"/>
      <c r="Q398" s="627"/>
      <c r="R398" s="585"/>
      <c r="S398" s="585"/>
      <c r="T398" s="585"/>
      <c r="U398" s="585"/>
      <c r="V398" s="585"/>
    </row>
    <row r="399" spans="1:22">
      <c r="A399" s="627"/>
      <c r="B399" s="627"/>
      <c r="C399" s="627"/>
      <c r="D399" s="627"/>
      <c r="E399" s="627"/>
      <c r="F399" s="627"/>
      <c r="G399" s="627"/>
      <c r="H399" s="627"/>
      <c r="I399" s="627"/>
      <c r="J399" s="627"/>
      <c r="K399" s="627"/>
      <c r="L399" s="627"/>
      <c r="M399" s="627"/>
      <c r="N399" s="627"/>
      <c r="O399" s="627"/>
      <c r="P399" s="627"/>
      <c r="Q399" s="627"/>
      <c r="R399" s="585"/>
      <c r="S399" s="585"/>
      <c r="T399" s="585"/>
      <c r="U399" s="585"/>
      <c r="V399" s="585"/>
    </row>
    <row r="400" spans="1:22">
      <c r="A400" s="627"/>
      <c r="B400" s="627"/>
      <c r="C400" s="627"/>
      <c r="D400" s="627"/>
      <c r="E400" s="627"/>
      <c r="F400" s="627"/>
      <c r="G400" s="627"/>
      <c r="H400" s="627"/>
      <c r="I400" s="627"/>
      <c r="J400" s="627"/>
      <c r="K400" s="627"/>
      <c r="L400" s="627"/>
      <c r="M400" s="627"/>
      <c r="N400" s="627"/>
      <c r="O400" s="627"/>
      <c r="P400" s="627"/>
      <c r="Q400" s="627"/>
      <c r="R400" s="585"/>
      <c r="S400" s="585"/>
      <c r="T400" s="585"/>
      <c r="U400" s="585"/>
      <c r="V400" s="585"/>
    </row>
    <row r="401" spans="1:22">
      <c r="A401" s="627"/>
      <c r="B401" s="627"/>
      <c r="C401" s="627"/>
      <c r="D401" s="627"/>
      <c r="E401" s="627"/>
      <c r="F401" s="627"/>
      <c r="G401" s="627"/>
      <c r="H401" s="627"/>
      <c r="I401" s="627"/>
      <c r="J401" s="627"/>
      <c r="K401" s="627"/>
      <c r="L401" s="627"/>
      <c r="M401" s="627"/>
      <c r="N401" s="627"/>
      <c r="O401" s="627"/>
      <c r="P401" s="627"/>
      <c r="Q401" s="627"/>
      <c r="R401" s="585"/>
      <c r="S401" s="585"/>
      <c r="T401" s="585"/>
      <c r="U401" s="585"/>
      <c r="V401" s="585"/>
    </row>
    <row r="402" spans="1:22">
      <c r="A402" s="627"/>
      <c r="B402" s="627"/>
      <c r="C402" s="627"/>
      <c r="D402" s="627"/>
      <c r="E402" s="627"/>
      <c r="F402" s="627"/>
      <c r="G402" s="627"/>
      <c r="H402" s="627"/>
      <c r="I402" s="627"/>
      <c r="J402" s="627"/>
      <c r="K402" s="627"/>
      <c r="L402" s="627"/>
      <c r="M402" s="627"/>
      <c r="N402" s="627"/>
      <c r="O402" s="627"/>
      <c r="P402" s="627"/>
      <c r="Q402" s="627"/>
      <c r="R402" s="585"/>
      <c r="S402" s="585"/>
      <c r="T402" s="585"/>
      <c r="U402" s="585"/>
      <c r="V402" s="585"/>
    </row>
    <row r="403" spans="1:22">
      <c r="A403" s="627"/>
      <c r="B403" s="627"/>
      <c r="C403" s="627"/>
      <c r="D403" s="627"/>
      <c r="E403" s="627"/>
      <c r="F403" s="627"/>
      <c r="G403" s="627"/>
      <c r="H403" s="627"/>
      <c r="I403" s="627"/>
      <c r="J403" s="627"/>
      <c r="K403" s="627"/>
      <c r="L403" s="627"/>
      <c r="M403" s="627"/>
      <c r="N403" s="627"/>
      <c r="O403" s="627"/>
      <c r="P403" s="627"/>
      <c r="Q403" s="627"/>
      <c r="R403" s="585"/>
      <c r="S403" s="585"/>
      <c r="T403" s="585"/>
      <c r="U403" s="585"/>
      <c r="V403" s="585"/>
    </row>
    <row r="404" spans="1:22">
      <c r="A404" s="627"/>
      <c r="B404" s="627"/>
      <c r="C404" s="627"/>
      <c r="D404" s="627"/>
      <c r="E404" s="627"/>
      <c r="F404" s="627"/>
      <c r="G404" s="627"/>
      <c r="H404" s="627"/>
      <c r="I404" s="627"/>
      <c r="J404" s="627"/>
      <c r="K404" s="627"/>
      <c r="L404" s="627"/>
      <c r="M404" s="627"/>
      <c r="N404" s="627"/>
      <c r="O404" s="627"/>
      <c r="P404" s="627"/>
      <c r="Q404" s="627"/>
      <c r="R404" s="585"/>
      <c r="S404" s="585"/>
      <c r="T404" s="585"/>
      <c r="U404" s="585"/>
      <c r="V404" s="585"/>
    </row>
    <row r="405" spans="1:22">
      <c r="A405" s="627"/>
      <c r="B405" s="627"/>
      <c r="C405" s="627"/>
      <c r="D405" s="627"/>
      <c r="E405" s="627"/>
      <c r="F405" s="627"/>
      <c r="G405" s="627"/>
      <c r="H405" s="627"/>
      <c r="I405" s="627"/>
      <c r="J405" s="627"/>
      <c r="K405" s="627"/>
      <c r="L405" s="627"/>
      <c r="M405" s="627"/>
      <c r="N405" s="627"/>
      <c r="O405" s="627"/>
      <c r="P405" s="627"/>
      <c r="Q405" s="627"/>
      <c r="R405" s="585"/>
      <c r="S405" s="585"/>
      <c r="T405" s="585"/>
      <c r="U405" s="585"/>
      <c r="V405" s="585"/>
    </row>
    <row r="406" spans="1:22">
      <c r="A406" s="627"/>
      <c r="B406" s="627"/>
      <c r="C406" s="627"/>
      <c r="D406" s="627"/>
      <c r="E406" s="627"/>
      <c r="F406" s="627"/>
      <c r="G406" s="627"/>
      <c r="H406" s="627"/>
      <c r="I406" s="627"/>
      <c r="J406" s="627"/>
      <c r="K406" s="627"/>
      <c r="L406" s="627"/>
      <c r="M406" s="627"/>
      <c r="N406" s="627"/>
      <c r="O406" s="627"/>
      <c r="P406" s="627"/>
      <c r="Q406" s="627"/>
      <c r="R406" s="585"/>
      <c r="S406" s="585"/>
      <c r="T406" s="585"/>
      <c r="U406" s="585"/>
      <c r="V406" s="585"/>
    </row>
    <row r="407" spans="1:22">
      <c r="A407" s="627"/>
      <c r="B407" s="627"/>
      <c r="C407" s="627"/>
      <c r="D407" s="627"/>
      <c r="E407" s="627"/>
      <c r="F407" s="627"/>
      <c r="G407" s="627"/>
      <c r="H407" s="627"/>
      <c r="I407" s="627"/>
      <c r="J407" s="627"/>
      <c r="K407" s="627"/>
      <c r="L407" s="627"/>
      <c r="M407" s="627"/>
      <c r="N407" s="627"/>
      <c r="O407" s="627"/>
      <c r="P407" s="627"/>
      <c r="Q407" s="627"/>
      <c r="R407" s="585"/>
      <c r="S407" s="585"/>
      <c r="T407" s="585"/>
      <c r="U407" s="585"/>
      <c r="V407" s="585"/>
    </row>
    <row r="408" spans="1:22">
      <c r="A408" s="627"/>
      <c r="B408" s="627"/>
      <c r="C408" s="627"/>
      <c r="D408" s="627"/>
      <c r="E408" s="627"/>
      <c r="F408" s="627"/>
      <c r="G408" s="627"/>
      <c r="H408" s="627"/>
      <c r="I408" s="627"/>
      <c r="J408" s="627"/>
      <c r="K408" s="627"/>
      <c r="L408" s="627"/>
      <c r="M408" s="627"/>
      <c r="N408" s="627"/>
      <c r="O408" s="627"/>
      <c r="P408" s="627"/>
      <c r="Q408" s="627"/>
      <c r="R408" s="585"/>
      <c r="S408" s="585"/>
      <c r="T408" s="585"/>
      <c r="U408" s="585"/>
      <c r="V408" s="585"/>
    </row>
    <row r="409" spans="1:22">
      <c r="A409" s="627"/>
      <c r="B409" s="627"/>
      <c r="C409" s="627"/>
      <c r="D409" s="627"/>
      <c r="E409" s="627"/>
      <c r="F409" s="627"/>
      <c r="G409" s="627"/>
      <c r="H409" s="627"/>
      <c r="I409" s="627"/>
      <c r="J409" s="627"/>
      <c r="K409" s="627"/>
      <c r="L409" s="627"/>
      <c r="M409" s="627"/>
      <c r="N409" s="627"/>
      <c r="O409" s="627"/>
      <c r="P409" s="627"/>
      <c r="Q409" s="627"/>
      <c r="R409" s="585"/>
      <c r="S409" s="585"/>
      <c r="T409" s="585"/>
      <c r="U409" s="585"/>
      <c r="V409" s="585"/>
    </row>
    <row r="410" spans="1:22">
      <c r="A410" s="627"/>
      <c r="B410" s="627"/>
      <c r="C410" s="627"/>
      <c r="D410" s="627"/>
      <c r="E410" s="627"/>
      <c r="F410" s="627"/>
      <c r="G410" s="627"/>
      <c r="H410" s="627"/>
      <c r="I410" s="627"/>
      <c r="J410" s="627"/>
      <c r="K410" s="627"/>
      <c r="L410" s="627"/>
      <c r="M410" s="627"/>
      <c r="N410" s="627"/>
      <c r="O410" s="627"/>
      <c r="P410" s="627"/>
      <c r="Q410" s="627"/>
      <c r="R410" s="585"/>
      <c r="S410" s="585"/>
      <c r="T410" s="585"/>
      <c r="U410" s="585"/>
      <c r="V410" s="585"/>
    </row>
    <row r="411" spans="1:22">
      <c r="A411" s="627"/>
      <c r="B411" s="627"/>
      <c r="C411" s="627"/>
      <c r="D411" s="627"/>
      <c r="E411" s="627"/>
      <c r="F411" s="627"/>
      <c r="G411" s="627"/>
      <c r="H411" s="627"/>
      <c r="I411" s="627"/>
      <c r="J411" s="627"/>
      <c r="K411" s="627"/>
      <c r="L411" s="627"/>
      <c r="M411" s="627"/>
      <c r="N411" s="627"/>
      <c r="O411" s="627"/>
      <c r="P411" s="627"/>
      <c r="Q411" s="627"/>
      <c r="R411" s="585"/>
      <c r="S411" s="585"/>
      <c r="T411" s="585"/>
      <c r="U411" s="585"/>
      <c r="V411" s="585"/>
    </row>
    <row r="412" spans="1:22">
      <c r="A412" s="627"/>
      <c r="B412" s="627"/>
      <c r="C412" s="627"/>
      <c r="D412" s="627"/>
      <c r="E412" s="627"/>
      <c r="F412" s="627"/>
      <c r="G412" s="627"/>
      <c r="H412" s="627"/>
      <c r="I412" s="627"/>
      <c r="J412" s="627"/>
      <c r="K412" s="627"/>
      <c r="L412" s="627"/>
      <c r="M412" s="627"/>
      <c r="N412" s="627"/>
      <c r="O412" s="627"/>
      <c r="P412" s="627"/>
      <c r="Q412" s="627"/>
      <c r="R412" s="585"/>
      <c r="S412" s="585"/>
      <c r="T412" s="585"/>
      <c r="U412" s="585"/>
      <c r="V412" s="585"/>
    </row>
    <row r="413" spans="1:22">
      <c r="A413" s="627"/>
      <c r="B413" s="627"/>
      <c r="C413" s="627"/>
      <c r="D413" s="627"/>
      <c r="E413" s="627"/>
      <c r="F413" s="627"/>
      <c r="G413" s="627"/>
      <c r="H413" s="627"/>
      <c r="I413" s="627"/>
      <c r="J413" s="627"/>
      <c r="K413" s="627"/>
      <c r="L413" s="627"/>
      <c r="M413" s="627"/>
      <c r="N413" s="627"/>
      <c r="O413" s="627"/>
      <c r="P413" s="627"/>
      <c r="Q413" s="627"/>
      <c r="R413" s="585"/>
      <c r="S413" s="585"/>
      <c r="T413" s="585"/>
      <c r="U413" s="585"/>
      <c r="V413" s="585"/>
    </row>
    <row r="414" spans="1:22">
      <c r="A414" s="627"/>
      <c r="B414" s="627"/>
      <c r="C414" s="627"/>
      <c r="D414" s="627"/>
      <c r="E414" s="627"/>
      <c r="F414" s="627"/>
      <c r="G414" s="627"/>
      <c r="H414" s="627"/>
      <c r="I414" s="627"/>
      <c r="J414" s="627"/>
      <c r="K414" s="627"/>
      <c r="L414" s="627"/>
      <c r="M414" s="627"/>
      <c r="N414" s="627"/>
      <c r="O414" s="627"/>
      <c r="P414" s="627"/>
      <c r="Q414" s="627"/>
      <c r="R414" s="585"/>
      <c r="S414" s="585"/>
      <c r="T414" s="585"/>
      <c r="U414" s="585"/>
      <c r="V414" s="585"/>
    </row>
    <row r="415" spans="1:22">
      <c r="A415" s="627"/>
      <c r="B415" s="627"/>
      <c r="C415" s="627"/>
      <c r="D415" s="627"/>
      <c r="E415" s="627"/>
      <c r="F415" s="627"/>
      <c r="G415" s="627"/>
      <c r="H415" s="627"/>
      <c r="I415" s="627"/>
      <c r="J415" s="627"/>
      <c r="K415" s="627"/>
      <c r="L415" s="627"/>
      <c r="M415" s="627"/>
      <c r="N415" s="627"/>
      <c r="O415" s="627"/>
      <c r="P415" s="627"/>
      <c r="Q415" s="627"/>
      <c r="R415" s="585"/>
      <c r="S415" s="585"/>
      <c r="T415" s="585"/>
      <c r="U415" s="585"/>
      <c r="V415" s="585"/>
    </row>
    <row r="416" spans="1:22">
      <c r="A416" s="627"/>
      <c r="B416" s="627"/>
      <c r="C416" s="627"/>
      <c r="D416" s="627"/>
      <c r="E416" s="627"/>
      <c r="F416" s="627"/>
      <c r="G416" s="627"/>
      <c r="H416" s="627"/>
      <c r="I416" s="627"/>
      <c r="J416" s="627"/>
      <c r="K416" s="627"/>
      <c r="L416" s="627"/>
      <c r="M416" s="627"/>
      <c r="N416" s="627"/>
      <c r="O416" s="627"/>
      <c r="P416" s="627"/>
      <c r="Q416" s="627"/>
      <c r="R416" s="585"/>
      <c r="S416" s="585"/>
      <c r="T416" s="585"/>
      <c r="U416" s="585"/>
      <c r="V416" s="585"/>
    </row>
    <row r="417" spans="1:22">
      <c r="A417" s="627"/>
      <c r="B417" s="627"/>
      <c r="C417" s="627"/>
      <c r="D417" s="627"/>
      <c r="E417" s="627"/>
      <c r="F417" s="627"/>
      <c r="G417" s="627"/>
      <c r="H417" s="627"/>
      <c r="I417" s="627"/>
      <c r="J417" s="627"/>
      <c r="K417" s="627"/>
      <c r="L417" s="627"/>
      <c r="M417" s="627"/>
      <c r="N417" s="627"/>
      <c r="O417" s="627"/>
      <c r="P417" s="627"/>
      <c r="Q417" s="627"/>
      <c r="R417" s="585"/>
      <c r="S417" s="585"/>
      <c r="T417" s="585"/>
      <c r="U417" s="585"/>
      <c r="V417" s="585"/>
    </row>
    <row r="418" spans="1:22">
      <c r="A418" s="627"/>
      <c r="B418" s="627"/>
      <c r="C418" s="627"/>
      <c r="D418" s="627"/>
      <c r="E418" s="627"/>
      <c r="F418" s="627"/>
      <c r="G418" s="627"/>
      <c r="H418" s="627"/>
      <c r="I418" s="627"/>
      <c r="J418" s="627"/>
      <c r="K418" s="627"/>
      <c r="L418" s="627"/>
      <c r="M418" s="627"/>
      <c r="N418" s="627"/>
      <c r="O418" s="627"/>
      <c r="P418" s="627"/>
      <c r="Q418" s="627"/>
      <c r="R418" s="585"/>
      <c r="S418" s="585"/>
      <c r="T418" s="585"/>
      <c r="U418" s="585"/>
      <c r="V418" s="585"/>
    </row>
    <row r="419" spans="1:22">
      <c r="A419" s="627"/>
      <c r="B419" s="627"/>
      <c r="C419" s="627"/>
      <c r="D419" s="627"/>
      <c r="E419" s="627"/>
      <c r="F419" s="627"/>
      <c r="G419" s="627"/>
      <c r="H419" s="627"/>
      <c r="I419" s="627"/>
      <c r="J419" s="627"/>
      <c r="K419" s="627"/>
      <c r="L419" s="627"/>
      <c r="M419" s="627"/>
      <c r="N419" s="627"/>
      <c r="O419" s="627"/>
      <c r="P419" s="627"/>
      <c r="Q419" s="627"/>
      <c r="R419" s="585"/>
      <c r="S419" s="585"/>
      <c r="T419" s="585"/>
      <c r="U419" s="585"/>
      <c r="V419" s="585"/>
    </row>
    <row r="420" spans="1:22">
      <c r="A420" s="627"/>
      <c r="B420" s="627"/>
      <c r="C420" s="627"/>
      <c r="D420" s="627"/>
      <c r="E420" s="627"/>
      <c r="F420" s="627"/>
      <c r="G420" s="627"/>
      <c r="H420" s="627"/>
      <c r="I420" s="627"/>
      <c r="J420" s="627"/>
      <c r="K420" s="627"/>
      <c r="L420" s="627"/>
      <c r="M420" s="627"/>
      <c r="N420" s="627"/>
      <c r="O420" s="627"/>
      <c r="P420" s="627"/>
      <c r="Q420" s="627"/>
      <c r="R420" s="585"/>
      <c r="S420" s="585"/>
      <c r="T420" s="585"/>
      <c r="U420" s="585"/>
      <c r="V420" s="585"/>
    </row>
    <row r="421" spans="1:22">
      <c r="A421" s="627"/>
      <c r="B421" s="627"/>
      <c r="C421" s="627"/>
      <c r="D421" s="627"/>
      <c r="E421" s="627"/>
      <c r="F421" s="627"/>
      <c r="G421" s="627"/>
      <c r="H421" s="627"/>
      <c r="I421" s="627"/>
      <c r="J421" s="627"/>
      <c r="K421" s="627"/>
      <c r="L421" s="627"/>
      <c r="M421" s="627"/>
      <c r="N421" s="627"/>
      <c r="O421" s="627"/>
      <c r="P421" s="627"/>
      <c r="Q421" s="627"/>
      <c r="R421" s="585"/>
      <c r="S421" s="585"/>
      <c r="T421" s="585"/>
      <c r="U421" s="585"/>
      <c r="V421" s="585"/>
    </row>
    <row r="422" spans="1:22">
      <c r="A422" s="627"/>
      <c r="B422" s="627"/>
      <c r="C422" s="627"/>
      <c r="D422" s="627"/>
      <c r="E422" s="627"/>
      <c r="F422" s="627"/>
      <c r="G422" s="627"/>
      <c r="H422" s="627"/>
      <c r="I422" s="627"/>
      <c r="J422" s="627"/>
      <c r="K422" s="627"/>
      <c r="L422" s="627"/>
      <c r="M422" s="627"/>
      <c r="N422" s="627"/>
      <c r="O422" s="627"/>
      <c r="P422" s="627"/>
      <c r="Q422" s="627"/>
      <c r="R422" s="585"/>
      <c r="S422" s="585"/>
      <c r="T422" s="585"/>
      <c r="U422" s="585"/>
      <c r="V422" s="585"/>
    </row>
    <row r="423" spans="1:22">
      <c r="A423" s="627"/>
      <c r="B423" s="627"/>
      <c r="C423" s="627"/>
      <c r="D423" s="627"/>
      <c r="E423" s="627"/>
      <c r="F423" s="627"/>
      <c r="G423" s="627"/>
      <c r="H423" s="627"/>
      <c r="I423" s="627"/>
      <c r="J423" s="627"/>
      <c r="K423" s="627"/>
      <c r="L423" s="627"/>
      <c r="M423" s="627"/>
      <c r="N423" s="627"/>
      <c r="O423" s="627"/>
      <c r="P423" s="627"/>
      <c r="Q423" s="627"/>
      <c r="R423" s="585"/>
      <c r="S423" s="585"/>
      <c r="T423" s="585"/>
      <c r="U423" s="585"/>
      <c r="V423" s="585"/>
    </row>
    <row r="424" spans="1:22">
      <c r="A424" s="627"/>
      <c r="B424" s="627"/>
      <c r="C424" s="627"/>
      <c r="D424" s="627"/>
      <c r="E424" s="627"/>
      <c r="F424" s="627"/>
      <c r="G424" s="627"/>
      <c r="H424" s="627"/>
      <c r="I424" s="627"/>
      <c r="J424" s="627"/>
      <c r="K424" s="627"/>
      <c r="L424" s="627"/>
      <c r="M424" s="627"/>
      <c r="N424" s="627"/>
      <c r="O424" s="627"/>
      <c r="P424" s="627"/>
      <c r="Q424" s="627"/>
      <c r="R424" s="585"/>
      <c r="S424" s="585"/>
      <c r="T424" s="585"/>
      <c r="U424" s="585"/>
      <c r="V424" s="585"/>
    </row>
    <row r="425" spans="1:22">
      <c r="A425" s="627"/>
      <c r="B425" s="627"/>
      <c r="C425" s="627"/>
      <c r="D425" s="627"/>
      <c r="E425" s="627"/>
      <c r="F425" s="627"/>
      <c r="G425" s="627"/>
      <c r="H425" s="627"/>
      <c r="I425" s="627"/>
      <c r="J425" s="627"/>
      <c r="K425" s="627"/>
      <c r="L425" s="627"/>
      <c r="M425" s="627"/>
      <c r="N425" s="627"/>
      <c r="O425" s="627"/>
      <c r="P425" s="627"/>
      <c r="Q425" s="627"/>
      <c r="R425" s="585"/>
      <c r="S425" s="585"/>
      <c r="T425" s="585"/>
      <c r="U425" s="585"/>
      <c r="V425" s="585"/>
    </row>
    <row r="426" spans="1:22">
      <c r="A426" s="627"/>
      <c r="B426" s="627"/>
      <c r="C426" s="627"/>
      <c r="D426" s="627"/>
      <c r="E426" s="627"/>
      <c r="F426" s="627"/>
      <c r="G426" s="627"/>
      <c r="H426" s="627"/>
      <c r="I426" s="627"/>
      <c r="J426" s="627"/>
      <c r="K426" s="627"/>
      <c r="L426" s="627"/>
      <c r="M426" s="627"/>
      <c r="N426" s="627"/>
      <c r="O426" s="627"/>
      <c r="P426" s="627"/>
      <c r="Q426" s="627"/>
      <c r="R426" s="585"/>
      <c r="S426" s="585"/>
      <c r="T426" s="585"/>
      <c r="U426" s="585"/>
      <c r="V426" s="585"/>
    </row>
    <row r="427" spans="1:22">
      <c r="A427" s="627"/>
      <c r="B427" s="627"/>
      <c r="C427" s="627"/>
      <c r="D427" s="627"/>
      <c r="E427" s="627"/>
      <c r="F427" s="627"/>
      <c r="G427" s="627"/>
      <c r="H427" s="627"/>
      <c r="I427" s="627"/>
      <c r="J427" s="627"/>
      <c r="K427" s="627"/>
      <c r="L427" s="627"/>
      <c r="M427" s="627"/>
      <c r="N427" s="627"/>
      <c r="O427" s="627"/>
      <c r="P427" s="627"/>
      <c r="Q427" s="627"/>
      <c r="R427" s="585"/>
      <c r="S427" s="585"/>
      <c r="T427" s="585"/>
      <c r="U427" s="585"/>
      <c r="V427" s="585"/>
    </row>
    <row r="428" spans="1:22">
      <c r="A428" s="585"/>
      <c r="B428" s="585"/>
      <c r="C428" s="585"/>
      <c r="D428" s="585"/>
      <c r="E428" s="585"/>
      <c r="F428" s="585"/>
      <c r="G428" s="585"/>
      <c r="H428" s="585"/>
      <c r="I428" s="585"/>
      <c r="J428" s="585"/>
      <c r="K428" s="585"/>
      <c r="L428" s="585"/>
      <c r="M428" s="585"/>
      <c r="N428" s="585"/>
      <c r="O428" s="585"/>
      <c r="P428" s="585"/>
      <c r="Q428" s="585"/>
      <c r="R428" s="585"/>
      <c r="S428" s="585"/>
      <c r="T428" s="585"/>
      <c r="U428" s="585"/>
      <c r="V428" s="585"/>
    </row>
    <row r="429" spans="1:22">
      <c r="A429" s="585"/>
      <c r="B429" s="585"/>
      <c r="C429" s="585"/>
      <c r="D429" s="585"/>
      <c r="E429" s="585"/>
      <c r="F429" s="585"/>
      <c r="G429" s="585"/>
      <c r="H429" s="585"/>
      <c r="I429" s="585"/>
      <c r="J429" s="585"/>
      <c r="K429" s="585"/>
      <c r="L429" s="585"/>
      <c r="M429" s="585"/>
      <c r="N429" s="585"/>
      <c r="O429" s="585"/>
      <c r="P429" s="585"/>
      <c r="Q429" s="585"/>
      <c r="R429" s="585"/>
      <c r="S429" s="585"/>
      <c r="T429" s="585"/>
      <c r="U429" s="585"/>
      <c r="V429" s="585"/>
    </row>
    <row r="430" spans="1:22">
      <c r="A430" s="585"/>
      <c r="B430" s="585"/>
      <c r="C430" s="585"/>
      <c r="D430" s="585"/>
      <c r="E430" s="585"/>
      <c r="F430" s="585"/>
      <c r="G430" s="585"/>
      <c r="H430" s="585"/>
      <c r="I430" s="585"/>
      <c r="J430" s="585"/>
      <c r="K430" s="585"/>
      <c r="L430" s="585"/>
      <c r="M430" s="585"/>
      <c r="N430" s="585"/>
      <c r="O430" s="585"/>
      <c r="P430" s="585"/>
      <c r="Q430" s="585"/>
      <c r="R430" s="585"/>
      <c r="S430" s="585"/>
      <c r="T430" s="585"/>
      <c r="U430" s="585"/>
      <c r="V430" s="585"/>
    </row>
    <row r="431" spans="1:22">
      <c r="A431" s="585"/>
      <c r="B431" s="585"/>
      <c r="C431" s="585"/>
      <c r="D431" s="585"/>
      <c r="E431" s="585"/>
      <c r="F431" s="585"/>
      <c r="G431" s="585"/>
      <c r="H431" s="585"/>
      <c r="I431" s="585"/>
      <c r="J431" s="585"/>
      <c r="K431" s="585"/>
      <c r="L431" s="585"/>
      <c r="M431" s="585"/>
      <c r="N431" s="585"/>
      <c r="O431" s="585"/>
      <c r="P431" s="585"/>
      <c r="Q431" s="585"/>
      <c r="R431" s="585"/>
      <c r="S431" s="585"/>
      <c r="T431" s="585"/>
      <c r="U431" s="585"/>
      <c r="V431" s="585"/>
    </row>
    <row r="432" spans="1:22">
      <c r="A432" s="585"/>
      <c r="B432" s="585"/>
      <c r="C432" s="585"/>
      <c r="D432" s="585"/>
      <c r="E432" s="585"/>
      <c r="F432" s="585"/>
      <c r="G432" s="585"/>
      <c r="H432" s="585"/>
      <c r="I432" s="585"/>
      <c r="J432" s="585"/>
      <c r="K432" s="585"/>
      <c r="L432" s="585"/>
      <c r="M432" s="585"/>
      <c r="N432" s="585"/>
      <c r="O432" s="585"/>
      <c r="P432" s="585"/>
      <c r="Q432" s="585"/>
      <c r="R432" s="585"/>
      <c r="S432" s="585"/>
      <c r="T432" s="585"/>
      <c r="U432" s="585"/>
      <c r="V432" s="585"/>
    </row>
    <row r="433" spans="1:22">
      <c r="A433" s="585"/>
      <c r="B433" s="585"/>
      <c r="C433" s="585"/>
      <c r="D433" s="585"/>
      <c r="E433" s="585"/>
      <c r="F433" s="585"/>
      <c r="G433" s="585"/>
      <c r="H433" s="585"/>
      <c r="I433" s="585"/>
      <c r="J433" s="585"/>
      <c r="K433" s="585"/>
      <c r="L433" s="585"/>
      <c r="M433" s="585"/>
      <c r="N433" s="585"/>
      <c r="O433" s="585"/>
      <c r="P433" s="585"/>
      <c r="Q433" s="585"/>
      <c r="R433" s="585"/>
      <c r="S433" s="585"/>
      <c r="T433" s="585"/>
      <c r="U433" s="585"/>
      <c r="V433" s="585"/>
    </row>
    <row r="434" spans="1:22">
      <c r="A434" s="585"/>
      <c r="B434" s="585"/>
      <c r="C434" s="585"/>
      <c r="D434" s="585"/>
      <c r="E434" s="585"/>
      <c r="F434" s="585"/>
      <c r="G434" s="585"/>
      <c r="H434" s="585"/>
      <c r="I434" s="585"/>
      <c r="J434" s="585"/>
      <c r="K434" s="585"/>
      <c r="L434" s="585"/>
      <c r="M434" s="585"/>
      <c r="N434" s="585"/>
      <c r="O434" s="585"/>
      <c r="P434" s="585"/>
      <c r="Q434" s="585"/>
      <c r="R434" s="585"/>
      <c r="S434" s="585"/>
      <c r="T434" s="585"/>
      <c r="U434" s="585"/>
      <c r="V434" s="585"/>
    </row>
    <row r="435" spans="1:22">
      <c r="A435" s="585"/>
      <c r="B435" s="585"/>
      <c r="C435" s="585"/>
      <c r="D435" s="585"/>
      <c r="E435" s="585"/>
      <c r="F435" s="585"/>
      <c r="G435" s="585"/>
      <c r="H435" s="585"/>
      <c r="I435" s="585"/>
      <c r="J435" s="585"/>
      <c r="K435" s="585"/>
      <c r="L435" s="585"/>
      <c r="M435" s="585"/>
      <c r="N435" s="585"/>
      <c r="O435" s="585"/>
      <c r="P435" s="585"/>
      <c r="Q435" s="585"/>
      <c r="R435" s="585"/>
      <c r="S435" s="585"/>
      <c r="T435" s="585"/>
      <c r="U435" s="585"/>
      <c r="V435" s="585"/>
    </row>
    <row r="436" spans="1:22">
      <c r="A436" s="585"/>
      <c r="B436" s="585"/>
      <c r="C436" s="585"/>
      <c r="D436" s="585"/>
      <c r="E436" s="585"/>
      <c r="F436" s="585"/>
      <c r="G436" s="585"/>
      <c r="H436" s="585"/>
      <c r="I436" s="585"/>
      <c r="J436" s="585"/>
      <c r="K436" s="585"/>
      <c r="L436" s="585"/>
      <c r="M436" s="585"/>
      <c r="N436" s="585"/>
      <c r="O436" s="585"/>
      <c r="P436" s="585"/>
      <c r="Q436" s="585"/>
      <c r="R436" s="585"/>
      <c r="S436" s="585"/>
      <c r="T436" s="585"/>
      <c r="U436" s="585"/>
      <c r="V436" s="585"/>
    </row>
    <row r="437" spans="1:22">
      <c r="A437" s="585"/>
      <c r="B437" s="585"/>
      <c r="C437" s="585"/>
      <c r="D437" s="585"/>
      <c r="E437" s="585"/>
      <c r="F437" s="585"/>
      <c r="G437" s="585"/>
      <c r="H437" s="585"/>
      <c r="I437" s="585"/>
      <c r="J437" s="585"/>
      <c r="K437" s="585"/>
      <c r="L437" s="585"/>
      <c r="M437" s="585"/>
      <c r="N437" s="585"/>
      <c r="O437" s="585"/>
      <c r="P437" s="585"/>
      <c r="Q437" s="585"/>
      <c r="R437" s="585"/>
      <c r="S437" s="585"/>
      <c r="T437" s="585"/>
      <c r="U437" s="585"/>
      <c r="V437" s="585"/>
    </row>
    <row r="438" spans="1:22">
      <c r="A438" s="585"/>
      <c r="B438" s="585"/>
      <c r="C438" s="585"/>
      <c r="D438" s="585"/>
      <c r="E438" s="585"/>
      <c r="F438" s="585"/>
      <c r="G438" s="585"/>
      <c r="H438" s="585"/>
      <c r="I438" s="585"/>
      <c r="J438" s="585"/>
      <c r="K438" s="585"/>
      <c r="L438" s="585"/>
      <c r="M438" s="585"/>
      <c r="N438" s="585"/>
      <c r="O438" s="585"/>
      <c r="P438" s="585"/>
      <c r="Q438" s="585"/>
      <c r="R438" s="585"/>
      <c r="S438" s="585"/>
      <c r="T438" s="585"/>
      <c r="U438" s="585"/>
      <c r="V438" s="585"/>
    </row>
    <row r="439" spans="1:22">
      <c r="A439" s="585"/>
      <c r="B439" s="585"/>
      <c r="C439" s="585"/>
      <c r="D439" s="585"/>
      <c r="E439" s="585"/>
      <c r="F439" s="585"/>
      <c r="G439" s="585"/>
      <c r="H439" s="585"/>
      <c r="I439" s="585"/>
      <c r="J439" s="585"/>
      <c r="K439" s="585"/>
      <c r="L439" s="585"/>
      <c r="M439" s="585"/>
      <c r="N439" s="585"/>
      <c r="O439" s="585"/>
      <c r="P439" s="585"/>
      <c r="Q439" s="585"/>
      <c r="R439" s="585"/>
      <c r="S439" s="585"/>
      <c r="T439" s="585"/>
      <c r="U439" s="585"/>
      <c r="V439" s="585"/>
    </row>
    <row r="440" spans="1:22">
      <c r="A440" s="585"/>
      <c r="B440" s="585"/>
      <c r="C440" s="585"/>
      <c r="D440" s="585"/>
      <c r="E440" s="585"/>
      <c r="F440" s="585"/>
      <c r="G440" s="585"/>
      <c r="H440" s="585"/>
      <c r="I440" s="585"/>
      <c r="J440" s="585"/>
      <c r="K440" s="585"/>
      <c r="L440" s="585"/>
      <c r="M440" s="585"/>
      <c r="N440" s="585"/>
      <c r="O440" s="585"/>
      <c r="P440" s="585"/>
      <c r="Q440" s="585"/>
      <c r="R440" s="585"/>
      <c r="S440" s="585"/>
      <c r="T440" s="585"/>
      <c r="U440" s="585"/>
      <c r="V440" s="585"/>
    </row>
    <row r="441" spans="1:22">
      <c r="A441" s="585"/>
      <c r="B441" s="585"/>
      <c r="C441" s="585"/>
      <c r="D441" s="585"/>
      <c r="E441" s="585"/>
      <c r="F441" s="585"/>
      <c r="G441" s="585"/>
      <c r="H441" s="585"/>
      <c r="I441" s="585"/>
      <c r="J441" s="585"/>
      <c r="K441" s="585"/>
      <c r="L441" s="585"/>
      <c r="M441" s="585"/>
      <c r="N441" s="585"/>
      <c r="O441" s="585"/>
      <c r="P441" s="585"/>
      <c r="Q441" s="585"/>
      <c r="R441" s="585"/>
      <c r="S441" s="585"/>
      <c r="T441" s="585"/>
      <c r="U441" s="585"/>
      <c r="V441" s="585"/>
    </row>
    <row r="442" spans="1:22">
      <c r="A442" s="585"/>
      <c r="B442" s="585"/>
      <c r="C442" s="585"/>
      <c r="D442" s="585"/>
      <c r="E442" s="585"/>
      <c r="F442" s="585"/>
      <c r="G442" s="585"/>
      <c r="H442" s="585"/>
      <c r="I442" s="585"/>
      <c r="J442" s="585"/>
      <c r="K442" s="585"/>
      <c r="L442" s="585"/>
      <c r="M442" s="585"/>
      <c r="N442" s="585"/>
      <c r="O442" s="585"/>
      <c r="P442" s="585"/>
      <c r="Q442" s="585"/>
      <c r="R442" s="585"/>
      <c r="S442" s="585"/>
      <c r="T442" s="585"/>
      <c r="U442" s="585"/>
      <c r="V442" s="585"/>
    </row>
    <row r="443" spans="1:22">
      <c r="A443" s="585"/>
      <c r="B443" s="585"/>
      <c r="C443" s="585"/>
      <c r="D443" s="585"/>
      <c r="E443" s="585"/>
      <c r="F443" s="585"/>
      <c r="G443" s="585"/>
      <c r="H443" s="585"/>
      <c r="I443" s="585"/>
      <c r="J443" s="585"/>
      <c r="K443" s="585"/>
      <c r="L443" s="585"/>
      <c r="M443" s="585"/>
      <c r="N443" s="585"/>
      <c r="O443" s="585"/>
      <c r="P443" s="585"/>
      <c r="Q443" s="585"/>
      <c r="R443" s="585"/>
      <c r="S443" s="585"/>
      <c r="T443" s="585"/>
      <c r="U443" s="585"/>
      <c r="V443" s="585"/>
    </row>
    <row r="444" spans="1:22">
      <c r="A444" s="585"/>
      <c r="B444" s="585"/>
      <c r="C444" s="585"/>
      <c r="D444" s="585"/>
      <c r="E444" s="585"/>
      <c r="F444" s="585"/>
      <c r="G444" s="585"/>
      <c r="H444" s="585"/>
      <c r="I444" s="585"/>
      <c r="J444" s="585"/>
      <c r="K444" s="585"/>
      <c r="L444" s="585"/>
      <c r="M444" s="585"/>
      <c r="N444" s="585"/>
      <c r="O444" s="585"/>
      <c r="P444" s="585"/>
      <c r="Q444" s="585"/>
      <c r="R444" s="585"/>
      <c r="S444" s="585"/>
      <c r="T444" s="585"/>
      <c r="U444" s="585"/>
      <c r="V444" s="585"/>
    </row>
    <row r="445" spans="1:22">
      <c r="A445" s="585"/>
      <c r="B445" s="585"/>
      <c r="C445" s="585"/>
      <c r="D445" s="585"/>
      <c r="E445" s="585"/>
      <c r="F445" s="585"/>
      <c r="G445" s="585"/>
      <c r="H445" s="585"/>
      <c r="I445" s="585"/>
      <c r="J445" s="585"/>
      <c r="K445" s="585"/>
      <c r="L445" s="585"/>
      <c r="M445" s="585"/>
      <c r="N445" s="585"/>
      <c r="O445" s="585"/>
      <c r="P445" s="585"/>
      <c r="Q445" s="585"/>
      <c r="R445" s="585"/>
      <c r="S445" s="585"/>
      <c r="T445" s="585"/>
      <c r="U445" s="585"/>
      <c r="V445" s="585"/>
    </row>
    <row r="446" spans="1:22">
      <c r="A446" s="585"/>
      <c r="B446" s="585"/>
      <c r="C446" s="585"/>
      <c r="D446" s="585"/>
      <c r="E446" s="585"/>
      <c r="F446" s="585"/>
      <c r="G446" s="585"/>
      <c r="H446" s="585"/>
      <c r="I446" s="585"/>
      <c r="J446" s="585"/>
      <c r="K446" s="585"/>
      <c r="L446" s="585"/>
      <c r="M446" s="585"/>
      <c r="N446" s="585"/>
      <c r="O446" s="585"/>
      <c r="P446" s="585"/>
      <c r="Q446" s="585"/>
      <c r="R446" s="585"/>
      <c r="S446" s="585"/>
      <c r="T446" s="585"/>
      <c r="U446" s="585"/>
      <c r="V446" s="585"/>
    </row>
    <row r="447" spans="1:22">
      <c r="A447" s="585"/>
      <c r="B447" s="585"/>
      <c r="C447" s="585"/>
      <c r="D447" s="585"/>
      <c r="E447" s="585"/>
      <c r="F447" s="585"/>
      <c r="G447" s="585"/>
      <c r="H447" s="585"/>
      <c r="I447" s="585"/>
      <c r="J447" s="585"/>
      <c r="K447" s="585"/>
      <c r="L447" s="585"/>
      <c r="M447" s="585"/>
      <c r="N447" s="585"/>
      <c r="O447" s="585"/>
      <c r="P447" s="585"/>
      <c r="Q447" s="585"/>
      <c r="R447" s="585"/>
      <c r="S447" s="585"/>
      <c r="T447" s="585"/>
      <c r="U447" s="585"/>
      <c r="V447" s="585"/>
    </row>
    <row r="448" spans="1:22">
      <c r="A448" s="585"/>
      <c r="B448" s="585"/>
      <c r="C448" s="585"/>
      <c r="D448" s="585"/>
      <c r="E448" s="585"/>
      <c r="F448" s="585"/>
      <c r="G448" s="585"/>
      <c r="H448" s="585"/>
      <c r="I448" s="585"/>
      <c r="J448" s="585"/>
      <c r="K448" s="585"/>
      <c r="L448" s="585"/>
      <c r="M448" s="585"/>
      <c r="N448" s="585"/>
      <c r="O448" s="585"/>
      <c r="P448" s="585"/>
      <c r="Q448" s="585"/>
      <c r="R448" s="585"/>
      <c r="S448" s="585"/>
      <c r="T448" s="585"/>
      <c r="U448" s="585"/>
      <c r="V448" s="585"/>
    </row>
    <row r="449" spans="1:22">
      <c r="A449" s="585"/>
      <c r="B449" s="585"/>
      <c r="C449" s="585"/>
      <c r="D449" s="585"/>
      <c r="E449" s="585"/>
      <c r="F449" s="585"/>
      <c r="G449" s="585"/>
      <c r="H449" s="585"/>
      <c r="I449" s="585"/>
      <c r="J449" s="585"/>
      <c r="K449" s="585"/>
      <c r="L449" s="585"/>
      <c r="M449" s="585"/>
      <c r="N449" s="585"/>
      <c r="O449" s="585"/>
      <c r="P449" s="585"/>
      <c r="Q449" s="585"/>
      <c r="R449" s="585"/>
      <c r="S449" s="585"/>
      <c r="T449" s="585"/>
      <c r="U449" s="585"/>
      <c r="V449" s="585"/>
    </row>
    <row r="450" spans="1:22">
      <c r="A450" s="585"/>
      <c r="B450" s="585"/>
      <c r="C450" s="585"/>
      <c r="D450" s="585"/>
      <c r="E450" s="585"/>
      <c r="F450" s="585"/>
      <c r="G450" s="585"/>
      <c r="H450" s="585"/>
      <c r="I450" s="585"/>
      <c r="J450" s="585"/>
      <c r="K450" s="585"/>
      <c r="L450" s="585"/>
      <c r="M450" s="585"/>
      <c r="N450" s="585"/>
      <c r="O450" s="585"/>
      <c r="P450" s="585"/>
      <c r="Q450" s="585"/>
      <c r="R450" s="585"/>
      <c r="S450" s="585"/>
      <c r="T450" s="585"/>
      <c r="U450" s="585"/>
      <c r="V450" s="585"/>
    </row>
    <row r="451" spans="1:22">
      <c r="A451" s="585"/>
      <c r="B451" s="585"/>
      <c r="C451" s="585"/>
      <c r="D451" s="585"/>
      <c r="E451" s="585"/>
      <c r="F451" s="585"/>
      <c r="G451" s="585"/>
      <c r="H451" s="585"/>
      <c r="I451" s="585"/>
      <c r="J451" s="585"/>
      <c r="K451" s="585"/>
      <c r="L451" s="585"/>
      <c r="M451" s="585"/>
      <c r="N451" s="585"/>
      <c r="O451" s="585"/>
      <c r="P451" s="585"/>
      <c r="Q451" s="585"/>
      <c r="R451" s="585"/>
      <c r="S451" s="585"/>
      <c r="T451" s="585"/>
      <c r="U451" s="585"/>
      <c r="V451" s="585"/>
    </row>
    <row r="452" spans="1:22">
      <c r="A452" s="585"/>
      <c r="B452" s="585"/>
      <c r="C452" s="585"/>
      <c r="D452" s="585"/>
      <c r="E452" s="585"/>
      <c r="F452" s="585"/>
      <c r="G452" s="585"/>
      <c r="H452" s="585"/>
      <c r="I452" s="585"/>
      <c r="J452" s="585"/>
      <c r="K452" s="585"/>
      <c r="L452" s="585"/>
      <c r="M452" s="585"/>
      <c r="N452" s="585"/>
      <c r="O452" s="585"/>
      <c r="P452" s="585"/>
      <c r="Q452" s="585"/>
      <c r="R452" s="585"/>
      <c r="S452" s="585"/>
      <c r="T452" s="585"/>
      <c r="U452" s="585"/>
      <c r="V452" s="585"/>
    </row>
    <row r="453" spans="1:22">
      <c r="A453" s="585"/>
      <c r="B453" s="585"/>
      <c r="C453" s="585"/>
      <c r="D453" s="585"/>
      <c r="E453" s="585"/>
      <c r="F453" s="585"/>
      <c r="G453" s="585"/>
      <c r="H453" s="585"/>
      <c r="I453" s="585"/>
      <c r="J453" s="585"/>
      <c r="K453" s="585"/>
      <c r="L453" s="585"/>
      <c r="M453" s="585"/>
      <c r="N453" s="585"/>
      <c r="O453" s="585"/>
      <c r="P453" s="585"/>
      <c r="Q453" s="585"/>
      <c r="R453" s="585"/>
      <c r="S453" s="585"/>
      <c r="T453" s="585"/>
      <c r="U453" s="585"/>
      <c r="V453" s="585"/>
    </row>
    <row r="454" spans="1:22">
      <c r="A454" s="585"/>
      <c r="B454" s="585"/>
      <c r="C454" s="585"/>
      <c r="D454" s="585"/>
      <c r="E454" s="585"/>
      <c r="F454" s="585"/>
      <c r="G454" s="585"/>
      <c r="H454" s="585"/>
      <c r="I454" s="585"/>
      <c r="J454" s="585"/>
      <c r="K454" s="585"/>
      <c r="L454" s="585"/>
      <c r="M454" s="585"/>
      <c r="N454" s="585"/>
      <c r="O454" s="585"/>
      <c r="P454" s="585"/>
      <c r="Q454" s="585"/>
      <c r="R454" s="585"/>
      <c r="S454" s="585"/>
      <c r="T454" s="585"/>
      <c r="U454" s="585"/>
      <c r="V454" s="585"/>
    </row>
    <row r="455" spans="1:22">
      <c r="A455" s="585"/>
      <c r="B455" s="585"/>
      <c r="C455" s="585"/>
      <c r="D455" s="585"/>
      <c r="E455" s="585"/>
      <c r="F455" s="585"/>
      <c r="G455" s="585"/>
      <c r="H455" s="585"/>
      <c r="I455" s="585"/>
      <c r="J455" s="585"/>
      <c r="K455" s="585"/>
      <c r="L455" s="585"/>
      <c r="M455" s="585"/>
      <c r="N455" s="585"/>
      <c r="O455" s="585"/>
      <c r="P455" s="585"/>
      <c r="Q455" s="585"/>
      <c r="R455" s="585"/>
      <c r="S455" s="585"/>
      <c r="T455" s="585"/>
      <c r="U455" s="585"/>
      <c r="V455" s="585"/>
    </row>
    <row r="456" spans="1:22">
      <c r="A456" s="585"/>
      <c r="B456" s="585"/>
      <c r="C456" s="585"/>
      <c r="D456" s="585"/>
      <c r="E456" s="585"/>
      <c r="F456" s="585"/>
      <c r="G456" s="585"/>
      <c r="H456" s="585"/>
      <c r="I456" s="585"/>
      <c r="J456" s="585"/>
      <c r="K456" s="585"/>
      <c r="L456" s="585"/>
      <c r="M456" s="585"/>
      <c r="N456" s="585"/>
      <c r="O456" s="585"/>
      <c r="P456" s="585"/>
      <c r="Q456" s="585"/>
      <c r="R456" s="585"/>
      <c r="S456" s="585"/>
      <c r="T456" s="585"/>
      <c r="U456" s="585"/>
      <c r="V456" s="585"/>
    </row>
    <row r="457" spans="1:22">
      <c r="A457" s="585"/>
      <c r="B457" s="585"/>
      <c r="C457" s="585"/>
      <c r="D457" s="585"/>
      <c r="E457" s="585"/>
      <c r="F457" s="585"/>
      <c r="G457" s="585"/>
      <c r="H457" s="585"/>
      <c r="I457" s="585"/>
      <c r="J457" s="585"/>
      <c r="K457" s="585"/>
      <c r="L457" s="585"/>
      <c r="M457" s="585"/>
      <c r="N457" s="585"/>
      <c r="O457" s="585"/>
      <c r="P457" s="585"/>
      <c r="Q457" s="585"/>
      <c r="R457" s="585"/>
      <c r="S457" s="585"/>
      <c r="T457" s="585"/>
      <c r="U457" s="585"/>
      <c r="V457" s="585"/>
    </row>
    <row r="458" spans="1:22">
      <c r="A458" s="585"/>
      <c r="B458" s="585"/>
      <c r="C458" s="585"/>
      <c r="D458" s="585"/>
      <c r="E458" s="585"/>
      <c r="F458" s="585"/>
      <c r="G458" s="585"/>
      <c r="H458" s="585"/>
      <c r="I458" s="585"/>
      <c r="J458" s="585"/>
      <c r="K458" s="585"/>
      <c r="L458" s="585"/>
      <c r="M458" s="585"/>
      <c r="N458" s="585"/>
      <c r="O458" s="585"/>
      <c r="P458" s="585"/>
      <c r="Q458" s="585"/>
      <c r="R458" s="585"/>
      <c r="S458" s="585"/>
      <c r="T458" s="585"/>
      <c r="U458" s="585"/>
      <c r="V458" s="585"/>
    </row>
    <row r="459" spans="1:22">
      <c r="A459" s="585"/>
      <c r="B459" s="585"/>
      <c r="C459" s="585"/>
      <c r="D459" s="585"/>
      <c r="E459" s="585"/>
      <c r="F459" s="585"/>
      <c r="G459" s="585"/>
      <c r="H459" s="585"/>
      <c r="I459" s="585"/>
      <c r="J459" s="585"/>
      <c r="K459" s="585"/>
      <c r="L459" s="585"/>
      <c r="M459" s="585"/>
      <c r="N459" s="585"/>
      <c r="O459" s="585"/>
      <c r="P459" s="585"/>
      <c r="Q459" s="585"/>
      <c r="R459" s="585"/>
      <c r="S459" s="585"/>
      <c r="T459" s="585"/>
      <c r="U459" s="585"/>
      <c r="V459" s="585"/>
    </row>
  </sheetData>
  <mergeCells count="436">
    <mergeCell ref="A365:O365"/>
    <mergeCell ref="A367:O367"/>
    <mergeCell ref="A368:Q368"/>
    <mergeCell ref="A369:Q369"/>
    <mergeCell ref="A370:A384"/>
    <mergeCell ref="J370:Q370"/>
    <mergeCell ref="J371:Q371"/>
    <mergeCell ref="J372:Q372"/>
    <mergeCell ref="J373:Q373"/>
    <mergeCell ref="J374:Q374"/>
    <mergeCell ref="J381:Q381"/>
    <mergeCell ref="J382:Q382"/>
    <mergeCell ref="J383:Q383"/>
    <mergeCell ref="J384:Q384"/>
    <mergeCell ref="J375:Q375"/>
    <mergeCell ref="J376:Q376"/>
    <mergeCell ref="J377:Q377"/>
    <mergeCell ref="J378:Q378"/>
    <mergeCell ref="J379:Q379"/>
    <mergeCell ref="J380:Q380"/>
    <mergeCell ref="A359:O359"/>
    <mergeCell ref="A360:A361"/>
    <mergeCell ref="J360:O360"/>
    <mergeCell ref="J361:O361"/>
    <mergeCell ref="A362:O362"/>
    <mergeCell ref="A363:A364"/>
    <mergeCell ref="J363:O363"/>
    <mergeCell ref="J364:O364"/>
    <mergeCell ref="S353:S354"/>
    <mergeCell ref="J354:O354"/>
    <mergeCell ref="J355:O355"/>
    <mergeCell ref="J356:O356"/>
    <mergeCell ref="A357:O357"/>
    <mergeCell ref="J358:O358"/>
    <mergeCell ref="J349:O349"/>
    <mergeCell ref="A350:O350"/>
    <mergeCell ref="J351:O351"/>
    <mergeCell ref="A352:O352"/>
    <mergeCell ref="A353:A356"/>
    <mergeCell ref="J353:O353"/>
    <mergeCell ref="N342:N343"/>
    <mergeCell ref="L344:O344"/>
    <mergeCell ref="J345:O345"/>
    <mergeCell ref="J346:O346"/>
    <mergeCell ref="J347:O347"/>
    <mergeCell ref="A348:O348"/>
    <mergeCell ref="L320:L343"/>
    <mergeCell ref="M320:O320"/>
    <mergeCell ref="A318:A347"/>
    <mergeCell ref="J318:J319"/>
    <mergeCell ref="K318:K344"/>
    <mergeCell ref="J320:J344"/>
    <mergeCell ref="S320:S343"/>
    <mergeCell ref="M321:M343"/>
    <mergeCell ref="N321:N324"/>
    <mergeCell ref="N325:N326"/>
    <mergeCell ref="N327:N333"/>
    <mergeCell ref="N334:N337"/>
    <mergeCell ref="N338:N339"/>
    <mergeCell ref="N340:N341"/>
    <mergeCell ref="N277:N280"/>
    <mergeCell ref="S277:S317"/>
    <mergeCell ref="N282:N306"/>
    <mergeCell ref="N307:N310"/>
    <mergeCell ref="N311:N317"/>
    <mergeCell ref="L319:O319"/>
    <mergeCell ref="S250:S276"/>
    <mergeCell ref="M251:M276"/>
    <mergeCell ref="N251:N257"/>
    <mergeCell ref="N258:N271"/>
    <mergeCell ref="N272:N276"/>
    <mergeCell ref="A277:A317"/>
    <mergeCell ref="J277:J317"/>
    <mergeCell ref="K277:K317"/>
    <mergeCell ref="L277:L317"/>
    <mergeCell ref="M277:M317"/>
    <mergeCell ref="A242:A248"/>
    <mergeCell ref="J242:J245"/>
    <mergeCell ref="K242:K245"/>
    <mergeCell ref="L242:L244"/>
    <mergeCell ref="N242:O242"/>
    <mergeCell ref="A218:A241"/>
    <mergeCell ref="J218:J229"/>
    <mergeCell ref="A249:O249"/>
    <mergeCell ref="A250:A276"/>
    <mergeCell ref="J250:J276"/>
    <mergeCell ref="K250:K276"/>
    <mergeCell ref="L250:L276"/>
    <mergeCell ref="M250:O250"/>
    <mergeCell ref="N243:O243"/>
    <mergeCell ref="N244:O244"/>
    <mergeCell ref="L245:O245"/>
    <mergeCell ref="J246:O246"/>
    <mergeCell ref="J247:O247"/>
    <mergeCell ref="J248:O248"/>
    <mergeCell ref="N234:O234"/>
    <mergeCell ref="M235:M238"/>
    <mergeCell ref="N235:O235"/>
    <mergeCell ref="N236:O236"/>
    <mergeCell ref="N237:O237"/>
    <mergeCell ref="N238:O238"/>
    <mergeCell ref="J230:J231"/>
    <mergeCell ref="K230:K231"/>
    <mergeCell ref="N230:O230"/>
    <mergeCell ref="L231:O231"/>
    <mergeCell ref="J232:J241"/>
    <mergeCell ref="K232:K241"/>
    <mergeCell ref="L232:L238"/>
    <mergeCell ref="M232:M234"/>
    <mergeCell ref="N232:O232"/>
    <mergeCell ref="N233:O233"/>
    <mergeCell ref="L239:O239"/>
    <mergeCell ref="L240:L241"/>
    <mergeCell ref="M240:M241"/>
    <mergeCell ref="N240:O240"/>
    <mergeCell ref="N241:O241"/>
    <mergeCell ref="S220:S223"/>
    <mergeCell ref="N221:O221"/>
    <mergeCell ref="N222:O222"/>
    <mergeCell ref="N223:O223"/>
    <mergeCell ref="L224:O224"/>
    <mergeCell ref="K225:K229"/>
    <mergeCell ref="M225:O225"/>
    <mergeCell ref="L226:O226"/>
    <mergeCell ref="L227:L228"/>
    <mergeCell ref="M227:O227"/>
    <mergeCell ref="K218:K224"/>
    <mergeCell ref="L218:L223"/>
    <mergeCell ref="M218:M223"/>
    <mergeCell ref="N218:O218"/>
    <mergeCell ref="N219:O219"/>
    <mergeCell ref="N220:O220"/>
    <mergeCell ref="N228:O228"/>
    <mergeCell ref="L229:O229"/>
    <mergeCell ref="S205:S209"/>
    <mergeCell ref="N206:O206"/>
    <mergeCell ref="M207:M211"/>
    <mergeCell ref="N207:O207"/>
    <mergeCell ref="N208:O208"/>
    <mergeCell ref="N209:O209"/>
    <mergeCell ref="N210:O210"/>
    <mergeCell ref="N211:O211"/>
    <mergeCell ref="S211:S214"/>
    <mergeCell ref="M212:M217"/>
    <mergeCell ref="N212:O212"/>
    <mergeCell ref="N213:O213"/>
    <mergeCell ref="N214:O214"/>
    <mergeCell ref="N215:O215"/>
    <mergeCell ref="N216:O216"/>
    <mergeCell ref="S216:S217"/>
    <mergeCell ref="N217:O217"/>
    <mergeCell ref="S193:S194"/>
    <mergeCell ref="N194:O194"/>
    <mergeCell ref="N195:O195"/>
    <mergeCell ref="N196:O196"/>
    <mergeCell ref="N197:O197"/>
    <mergeCell ref="S197:S203"/>
    <mergeCell ref="N198:O198"/>
    <mergeCell ref="N199:O199"/>
    <mergeCell ref="N200:O200"/>
    <mergeCell ref="N201:O201"/>
    <mergeCell ref="N192:O192"/>
    <mergeCell ref="A193:A217"/>
    <mergeCell ref="J193:J217"/>
    <mergeCell ref="K193:K217"/>
    <mergeCell ref="L193:L217"/>
    <mergeCell ref="M193:M198"/>
    <mergeCell ref="N193:O193"/>
    <mergeCell ref="M199:M206"/>
    <mergeCell ref="N202:O202"/>
    <mergeCell ref="N203:O203"/>
    <mergeCell ref="N204:O204"/>
    <mergeCell ref="N205:O205"/>
    <mergeCell ref="N178:O178"/>
    <mergeCell ref="N179:O179"/>
    <mergeCell ref="N186:O186"/>
    <mergeCell ref="N187:O187"/>
    <mergeCell ref="N188:O188"/>
    <mergeCell ref="N189:O189"/>
    <mergeCell ref="N190:O190"/>
    <mergeCell ref="N191:O191"/>
    <mergeCell ref="N180:O180"/>
    <mergeCell ref="N181:O181"/>
    <mergeCell ref="N182:O182"/>
    <mergeCell ref="N183:O183"/>
    <mergeCell ref="N184:O184"/>
    <mergeCell ref="N185:O185"/>
    <mergeCell ref="S167:S168"/>
    <mergeCell ref="N168:O168"/>
    <mergeCell ref="A169:A192"/>
    <mergeCell ref="J169:J192"/>
    <mergeCell ref="K169:K192"/>
    <mergeCell ref="L169:L192"/>
    <mergeCell ref="M169:M192"/>
    <mergeCell ref="N169:O169"/>
    <mergeCell ref="N170:O170"/>
    <mergeCell ref="S170:S173"/>
    <mergeCell ref="M163:M167"/>
    <mergeCell ref="N163:O163"/>
    <mergeCell ref="N164:O164"/>
    <mergeCell ref="N165:O165"/>
    <mergeCell ref="N166:O166"/>
    <mergeCell ref="N167:O167"/>
    <mergeCell ref="N171:O171"/>
    <mergeCell ref="N172:O172"/>
    <mergeCell ref="N173:O173"/>
    <mergeCell ref="N174:O174"/>
    <mergeCell ref="N175:O175"/>
    <mergeCell ref="S175:S192"/>
    <mergeCell ref="N176:O176"/>
    <mergeCell ref="N177:O177"/>
    <mergeCell ref="N145:O145"/>
    <mergeCell ref="M146:M158"/>
    <mergeCell ref="N146:O146"/>
    <mergeCell ref="N147:O147"/>
    <mergeCell ref="N148:O148"/>
    <mergeCell ref="N149:O149"/>
    <mergeCell ref="N150:O150"/>
    <mergeCell ref="N151:O151"/>
    <mergeCell ref="N152:O152"/>
    <mergeCell ref="S138:S143"/>
    <mergeCell ref="N139:O139"/>
    <mergeCell ref="N140:O140"/>
    <mergeCell ref="N141:O141"/>
    <mergeCell ref="N142:O142"/>
    <mergeCell ref="N143:O143"/>
    <mergeCell ref="A144:A168"/>
    <mergeCell ref="J144:J168"/>
    <mergeCell ref="K144:K168"/>
    <mergeCell ref="L144:L168"/>
    <mergeCell ref="M144:M145"/>
    <mergeCell ref="N144:O144"/>
    <mergeCell ref="N153:O153"/>
    <mergeCell ref="N154:O154"/>
    <mergeCell ref="N155:O155"/>
    <mergeCell ref="N156:O156"/>
    <mergeCell ref="N157:O157"/>
    <mergeCell ref="N158:O158"/>
    <mergeCell ref="M159:M162"/>
    <mergeCell ref="N159:O159"/>
    <mergeCell ref="N160:O160"/>
    <mergeCell ref="N161:O161"/>
    <mergeCell ref="N162:O162"/>
    <mergeCell ref="S144:S165"/>
    <mergeCell ref="A135:A143"/>
    <mergeCell ref="J135:J143"/>
    <mergeCell ref="K135:K143"/>
    <mergeCell ref="L135:L136"/>
    <mergeCell ref="M135:M136"/>
    <mergeCell ref="N135:O135"/>
    <mergeCell ref="N136:O136"/>
    <mergeCell ref="L137:O137"/>
    <mergeCell ref="L138:L143"/>
    <mergeCell ref="M138:M143"/>
    <mergeCell ref="N138:O138"/>
    <mergeCell ref="M130:M131"/>
    <mergeCell ref="N130:O130"/>
    <mergeCell ref="N131:O131"/>
    <mergeCell ref="S119:S136"/>
    <mergeCell ref="M120:M121"/>
    <mergeCell ref="N120:O120"/>
    <mergeCell ref="N121:O121"/>
    <mergeCell ref="M122:M123"/>
    <mergeCell ref="N122:O122"/>
    <mergeCell ref="N123:O123"/>
    <mergeCell ref="M124:M129"/>
    <mergeCell ref="N124:O124"/>
    <mergeCell ref="N125:O125"/>
    <mergeCell ref="M132:M133"/>
    <mergeCell ref="N132:O132"/>
    <mergeCell ref="N133:O133"/>
    <mergeCell ref="N134:O134"/>
    <mergeCell ref="M115:M116"/>
    <mergeCell ref="N115:O115"/>
    <mergeCell ref="N116:O116"/>
    <mergeCell ref="L117:O117"/>
    <mergeCell ref="A118:O118"/>
    <mergeCell ref="A119:A134"/>
    <mergeCell ref="J119:J134"/>
    <mergeCell ref="K119:K134"/>
    <mergeCell ref="L119:L134"/>
    <mergeCell ref="N119:O119"/>
    <mergeCell ref="A111:A117"/>
    <mergeCell ref="J111:J117"/>
    <mergeCell ref="K111:K112"/>
    <mergeCell ref="N111:O111"/>
    <mergeCell ref="L112:O112"/>
    <mergeCell ref="K113:K114"/>
    <mergeCell ref="N113:O113"/>
    <mergeCell ref="L114:O114"/>
    <mergeCell ref="K115:K117"/>
    <mergeCell ref="L115:L116"/>
    <mergeCell ref="N126:O126"/>
    <mergeCell ref="N127:O127"/>
    <mergeCell ref="N128:O128"/>
    <mergeCell ref="N129:O129"/>
    <mergeCell ref="N106:O106"/>
    <mergeCell ref="S106:S109"/>
    <mergeCell ref="N107:O107"/>
    <mergeCell ref="N108:O108"/>
    <mergeCell ref="N109:O109"/>
    <mergeCell ref="L110:O110"/>
    <mergeCell ref="N100:O100"/>
    <mergeCell ref="N101:O101"/>
    <mergeCell ref="L102:O102"/>
    <mergeCell ref="J103:O104"/>
    <mergeCell ref="A105:O105"/>
    <mergeCell ref="A106:A110"/>
    <mergeCell ref="J106:J110"/>
    <mergeCell ref="K106:K110"/>
    <mergeCell ref="L106:L109"/>
    <mergeCell ref="M106:M109"/>
    <mergeCell ref="A67:A92"/>
    <mergeCell ref="J67:J76"/>
    <mergeCell ref="K67:K92"/>
    <mergeCell ref="J77:J92"/>
    <mergeCell ref="A97:O97"/>
    <mergeCell ref="A98:I104"/>
    <mergeCell ref="J98:J99"/>
    <mergeCell ref="K98:K99"/>
    <mergeCell ref="N98:O98"/>
    <mergeCell ref="L99:O99"/>
    <mergeCell ref="J100:J102"/>
    <mergeCell ref="K100:K102"/>
    <mergeCell ref="L100:L101"/>
    <mergeCell ref="M100:M101"/>
    <mergeCell ref="A93:A96"/>
    <mergeCell ref="J93:J95"/>
    <mergeCell ref="K93:K95"/>
    <mergeCell ref="L93:L94"/>
    <mergeCell ref="M93:M94"/>
    <mergeCell ref="N93:N94"/>
    <mergeCell ref="L76:O76"/>
    <mergeCell ref="S93:S94"/>
    <mergeCell ref="L95:O95"/>
    <mergeCell ref="J96:O96"/>
    <mergeCell ref="N77:N78"/>
    <mergeCell ref="N82:N83"/>
    <mergeCell ref="N84:N86"/>
    <mergeCell ref="N88:N89"/>
    <mergeCell ref="L90:O90"/>
    <mergeCell ref="L91:L92"/>
    <mergeCell ref="M91:M92"/>
    <mergeCell ref="L77:L89"/>
    <mergeCell ref="M77:M89"/>
    <mergeCell ref="S91:S92"/>
    <mergeCell ref="S67:S68"/>
    <mergeCell ref="L69:O69"/>
    <mergeCell ref="L70:L72"/>
    <mergeCell ref="M70:M72"/>
    <mergeCell ref="S70:S75"/>
    <mergeCell ref="L73:L75"/>
    <mergeCell ref="M73:M75"/>
    <mergeCell ref="L67:L68"/>
    <mergeCell ref="M67:M68"/>
    <mergeCell ref="N67:N68"/>
    <mergeCell ref="S45:S65"/>
    <mergeCell ref="N51:N52"/>
    <mergeCell ref="N53:N54"/>
    <mergeCell ref="N57:N64"/>
    <mergeCell ref="N65:N66"/>
    <mergeCell ref="A39:O39"/>
    <mergeCell ref="A40:A41"/>
    <mergeCell ref="J40:O40"/>
    <mergeCell ref="J41:O41"/>
    <mergeCell ref="A42:O42"/>
    <mergeCell ref="A43:A66"/>
    <mergeCell ref="J43:J66"/>
    <mergeCell ref="K43:K66"/>
    <mergeCell ref="M43:O43"/>
    <mergeCell ref="L44:O44"/>
    <mergeCell ref="A34:O34"/>
    <mergeCell ref="A35:I38"/>
    <mergeCell ref="J35:J36"/>
    <mergeCell ref="K35:K36"/>
    <mergeCell ref="N35:O35"/>
    <mergeCell ref="L36:O36"/>
    <mergeCell ref="J37:O37"/>
    <mergeCell ref="J38:O38"/>
    <mergeCell ref="L45:L66"/>
    <mergeCell ref="M45:M66"/>
    <mergeCell ref="N45:N50"/>
    <mergeCell ref="N25:O25"/>
    <mergeCell ref="N26:O26"/>
    <mergeCell ref="M27:M31"/>
    <mergeCell ref="N27:O27"/>
    <mergeCell ref="N28:O28"/>
    <mergeCell ref="N29:O29"/>
    <mergeCell ref="N30:O30"/>
    <mergeCell ref="N31:O31"/>
    <mergeCell ref="A21:O21"/>
    <mergeCell ref="A22:A33"/>
    <mergeCell ref="J22:J23"/>
    <mergeCell ref="K22:K32"/>
    <mergeCell ref="N22:O22"/>
    <mergeCell ref="L23:O23"/>
    <mergeCell ref="J24:J32"/>
    <mergeCell ref="L24:L31"/>
    <mergeCell ref="M24:M26"/>
    <mergeCell ref="N24:O24"/>
    <mergeCell ref="L32:O32"/>
    <mergeCell ref="J33:O33"/>
    <mergeCell ref="S4:S20"/>
    <mergeCell ref="N5:O5"/>
    <mergeCell ref="N6:O6"/>
    <mergeCell ref="N7:O7"/>
    <mergeCell ref="N8:O8"/>
    <mergeCell ref="N9:O9"/>
    <mergeCell ref="N10:O10"/>
    <mergeCell ref="L11:O11"/>
    <mergeCell ref="L12:L17"/>
    <mergeCell ref="M12:M17"/>
    <mergeCell ref="A1:S1"/>
    <mergeCell ref="A2:G3"/>
    <mergeCell ref="J2:M3"/>
    <mergeCell ref="N2:O3"/>
    <mergeCell ref="P2:P3"/>
    <mergeCell ref="Q2:Q3"/>
    <mergeCell ref="R2:R3"/>
    <mergeCell ref="S2:S3"/>
    <mergeCell ref="A4:I20"/>
    <mergeCell ref="J4:J11"/>
    <mergeCell ref="K4:K20"/>
    <mergeCell ref="L4:L10"/>
    <mergeCell ref="M4:M10"/>
    <mergeCell ref="N4:O4"/>
    <mergeCell ref="J12:J20"/>
    <mergeCell ref="N12:O12"/>
    <mergeCell ref="N13:O13"/>
    <mergeCell ref="N14:O14"/>
    <mergeCell ref="N15:O15"/>
    <mergeCell ref="N16:O16"/>
    <mergeCell ref="N17:O17"/>
    <mergeCell ref="L18:O18"/>
    <mergeCell ref="N19:O19"/>
    <mergeCell ref="L20:O20"/>
  </mergeCells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>
    <oddHeader>&amp;LPříloha č. 21&amp;CZávěrečný účet Plzeňského kraje za rok 2010</oddHeader>
    <oddFooter>&amp;LKrajský úřad Plzeňského kraje
odbor ekonomický&amp;C&amp;P&amp;R&amp;D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56"/>
  <sheetViews>
    <sheetView zoomScaleNormal="100" workbookViewId="0">
      <selection activeCell="D65" sqref="D65"/>
    </sheetView>
  </sheetViews>
  <sheetFormatPr defaultRowHeight="13.2"/>
  <cols>
    <col min="1" max="1" width="7" customWidth="1"/>
    <col min="2" max="2" width="45.44140625" customWidth="1"/>
    <col min="3" max="3" width="15.109375" customWidth="1"/>
    <col min="4" max="4" width="14.5546875" customWidth="1"/>
    <col min="5" max="6" width="16" customWidth="1"/>
    <col min="7" max="7" width="91.33203125" customWidth="1"/>
    <col min="257" max="257" width="7" customWidth="1"/>
    <col min="258" max="258" width="45.44140625" customWidth="1"/>
    <col min="259" max="259" width="15.109375" customWidth="1"/>
    <col min="260" max="260" width="14.5546875" customWidth="1"/>
    <col min="261" max="262" width="16" customWidth="1"/>
    <col min="263" max="263" width="91.33203125" customWidth="1"/>
    <col min="513" max="513" width="7" customWidth="1"/>
    <col min="514" max="514" width="45.44140625" customWidth="1"/>
    <col min="515" max="515" width="15.109375" customWidth="1"/>
    <col min="516" max="516" width="14.5546875" customWidth="1"/>
    <col min="517" max="518" width="16" customWidth="1"/>
    <col min="519" max="519" width="91.33203125" customWidth="1"/>
    <col min="769" max="769" width="7" customWidth="1"/>
    <col min="770" max="770" width="45.44140625" customWidth="1"/>
    <col min="771" max="771" width="15.109375" customWidth="1"/>
    <col min="772" max="772" width="14.5546875" customWidth="1"/>
    <col min="773" max="774" width="16" customWidth="1"/>
    <col min="775" max="775" width="91.33203125" customWidth="1"/>
    <col min="1025" max="1025" width="7" customWidth="1"/>
    <col min="1026" max="1026" width="45.44140625" customWidth="1"/>
    <col min="1027" max="1027" width="15.109375" customWidth="1"/>
    <col min="1028" max="1028" width="14.5546875" customWidth="1"/>
    <col min="1029" max="1030" width="16" customWidth="1"/>
    <col min="1031" max="1031" width="91.33203125" customWidth="1"/>
    <col min="1281" max="1281" width="7" customWidth="1"/>
    <col min="1282" max="1282" width="45.44140625" customWidth="1"/>
    <col min="1283" max="1283" width="15.109375" customWidth="1"/>
    <col min="1284" max="1284" width="14.5546875" customWidth="1"/>
    <col min="1285" max="1286" width="16" customWidth="1"/>
    <col min="1287" max="1287" width="91.33203125" customWidth="1"/>
    <col min="1537" max="1537" width="7" customWidth="1"/>
    <col min="1538" max="1538" width="45.44140625" customWidth="1"/>
    <col min="1539" max="1539" width="15.109375" customWidth="1"/>
    <col min="1540" max="1540" width="14.5546875" customWidth="1"/>
    <col min="1541" max="1542" width="16" customWidth="1"/>
    <col min="1543" max="1543" width="91.33203125" customWidth="1"/>
    <col min="1793" max="1793" width="7" customWidth="1"/>
    <col min="1794" max="1794" width="45.44140625" customWidth="1"/>
    <col min="1795" max="1795" width="15.109375" customWidth="1"/>
    <col min="1796" max="1796" width="14.5546875" customWidth="1"/>
    <col min="1797" max="1798" width="16" customWidth="1"/>
    <col min="1799" max="1799" width="91.33203125" customWidth="1"/>
    <col min="2049" max="2049" width="7" customWidth="1"/>
    <col min="2050" max="2050" width="45.44140625" customWidth="1"/>
    <col min="2051" max="2051" width="15.109375" customWidth="1"/>
    <col min="2052" max="2052" width="14.5546875" customWidth="1"/>
    <col min="2053" max="2054" width="16" customWidth="1"/>
    <col min="2055" max="2055" width="91.33203125" customWidth="1"/>
    <col min="2305" max="2305" width="7" customWidth="1"/>
    <col min="2306" max="2306" width="45.44140625" customWidth="1"/>
    <col min="2307" max="2307" width="15.109375" customWidth="1"/>
    <col min="2308" max="2308" width="14.5546875" customWidth="1"/>
    <col min="2309" max="2310" width="16" customWidth="1"/>
    <col min="2311" max="2311" width="91.33203125" customWidth="1"/>
    <col min="2561" max="2561" width="7" customWidth="1"/>
    <col min="2562" max="2562" width="45.44140625" customWidth="1"/>
    <col min="2563" max="2563" width="15.109375" customWidth="1"/>
    <col min="2564" max="2564" width="14.5546875" customWidth="1"/>
    <col min="2565" max="2566" width="16" customWidth="1"/>
    <col min="2567" max="2567" width="91.33203125" customWidth="1"/>
    <col min="2817" max="2817" width="7" customWidth="1"/>
    <col min="2818" max="2818" width="45.44140625" customWidth="1"/>
    <col min="2819" max="2819" width="15.109375" customWidth="1"/>
    <col min="2820" max="2820" width="14.5546875" customWidth="1"/>
    <col min="2821" max="2822" width="16" customWidth="1"/>
    <col min="2823" max="2823" width="91.33203125" customWidth="1"/>
    <col min="3073" max="3073" width="7" customWidth="1"/>
    <col min="3074" max="3074" width="45.44140625" customWidth="1"/>
    <col min="3075" max="3075" width="15.109375" customWidth="1"/>
    <col min="3076" max="3076" width="14.5546875" customWidth="1"/>
    <col min="3077" max="3078" width="16" customWidth="1"/>
    <col min="3079" max="3079" width="91.33203125" customWidth="1"/>
    <col min="3329" max="3329" width="7" customWidth="1"/>
    <col min="3330" max="3330" width="45.44140625" customWidth="1"/>
    <col min="3331" max="3331" width="15.109375" customWidth="1"/>
    <col min="3332" max="3332" width="14.5546875" customWidth="1"/>
    <col min="3333" max="3334" width="16" customWidth="1"/>
    <col min="3335" max="3335" width="91.33203125" customWidth="1"/>
    <col min="3585" max="3585" width="7" customWidth="1"/>
    <col min="3586" max="3586" width="45.44140625" customWidth="1"/>
    <col min="3587" max="3587" width="15.109375" customWidth="1"/>
    <col min="3588" max="3588" width="14.5546875" customWidth="1"/>
    <col min="3589" max="3590" width="16" customWidth="1"/>
    <col min="3591" max="3591" width="91.33203125" customWidth="1"/>
    <col min="3841" max="3841" width="7" customWidth="1"/>
    <col min="3842" max="3842" width="45.44140625" customWidth="1"/>
    <col min="3843" max="3843" width="15.109375" customWidth="1"/>
    <col min="3844" max="3844" width="14.5546875" customWidth="1"/>
    <col min="3845" max="3846" width="16" customWidth="1"/>
    <col min="3847" max="3847" width="91.33203125" customWidth="1"/>
    <col min="4097" max="4097" width="7" customWidth="1"/>
    <col min="4098" max="4098" width="45.44140625" customWidth="1"/>
    <col min="4099" max="4099" width="15.109375" customWidth="1"/>
    <col min="4100" max="4100" width="14.5546875" customWidth="1"/>
    <col min="4101" max="4102" width="16" customWidth="1"/>
    <col min="4103" max="4103" width="91.33203125" customWidth="1"/>
    <col min="4353" max="4353" width="7" customWidth="1"/>
    <col min="4354" max="4354" width="45.44140625" customWidth="1"/>
    <col min="4355" max="4355" width="15.109375" customWidth="1"/>
    <col min="4356" max="4356" width="14.5546875" customWidth="1"/>
    <col min="4357" max="4358" width="16" customWidth="1"/>
    <col min="4359" max="4359" width="91.33203125" customWidth="1"/>
    <col min="4609" max="4609" width="7" customWidth="1"/>
    <col min="4610" max="4610" width="45.44140625" customWidth="1"/>
    <col min="4611" max="4611" width="15.109375" customWidth="1"/>
    <col min="4612" max="4612" width="14.5546875" customWidth="1"/>
    <col min="4613" max="4614" width="16" customWidth="1"/>
    <col min="4615" max="4615" width="91.33203125" customWidth="1"/>
    <col min="4865" max="4865" width="7" customWidth="1"/>
    <col min="4866" max="4866" width="45.44140625" customWidth="1"/>
    <col min="4867" max="4867" width="15.109375" customWidth="1"/>
    <col min="4868" max="4868" width="14.5546875" customWidth="1"/>
    <col min="4869" max="4870" width="16" customWidth="1"/>
    <col min="4871" max="4871" width="91.33203125" customWidth="1"/>
    <col min="5121" max="5121" width="7" customWidth="1"/>
    <col min="5122" max="5122" width="45.44140625" customWidth="1"/>
    <col min="5123" max="5123" width="15.109375" customWidth="1"/>
    <col min="5124" max="5124" width="14.5546875" customWidth="1"/>
    <col min="5125" max="5126" width="16" customWidth="1"/>
    <col min="5127" max="5127" width="91.33203125" customWidth="1"/>
    <col min="5377" max="5377" width="7" customWidth="1"/>
    <col min="5378" max="5378" width="45.44140625" customWidth="1"/>
    <col min="5379" max="5379" width="15.109375" customWidth="1"/>
    <col min="5380" max="5380" width="14.5546875" customWidth="1"/>
    <col min="5381" max="5382" width="16" customWidth="1"/>
    <col min="5383" max="5383" width="91.33203125" customWidth="1"/>
    <col min="5633" max="5633" width="7" customWidth="1"/>
    <col min="5634" max="5634" width="45.44140625" customWidth="1"/>
    <col min="5635" max="5635" width="15.109375" customWidth="1"/>
    <col min="5636" max="5636" width="14.5546875" customWidth="1"/>
    <col min="5637" max="5638" width="16" customWidth="1"/>
    <col min="5639" max="5639" width="91.33203125" customWidth="1"/>
    <col min="5889" max="5889" width="7" customWidth="1"/>
    <col min="5890" max="5890" width="45.44140625" customWidth="1"/>
    <col min="5891" max="5891" width="15.109375" customWidth="1"/>
    <col min="5892" max="5892" width="14.5546875" customWidth="1"/>
    <col min="5893" max="5894" width="16" customWidth="1"/>
    <col min="5895" max="5895" width="91.33203125" customWidth="1"/>
    <col min="6145" max="6145" width="7" customWidth="1"/>
    <col min="6146" max="6146" width="45.44140625" customWidth="1"/>
    <col min="6147" max="6147" width="15.109375" customWidth="1"/>
    <col min="6148" max="6148" width="14.5546875" customWidth="1"/>
    <col min="6149" max="6150" width="16" customWidth="1"/>
    <col min="6151" max="6151" width="91.33203125" customWidth="1"/>
    <col min="6401" max="6401" width="7" customWidth="1"/>
    <col min="6402" max="6402" width="45.44140625" customWidth="1"/>
    <col min="6403" max="6403" width="15.109375" customWidth="1"/>
    <col min="6404" max="6404" width="14.5546875" customWidth="1"/>
    <col min="6405" max="6406" width="16" customWidth="1"/>
    <col min="6407" max="6407" width="91.33203125" customWidth="1"/>
    <col min="6657" max="6657" width="7" customWidth="1"/>
    <col min="6658" max="6658" width="45.44140625" customWidth="1"/>
    <col min="6659" max="6659" width="15.109375" customWidth="1"/>
    <col min="6660" max="6660" width="14.5546875" customWidth="1"/>
    <col min="6661" max="6662" width="16" customWidth="1"/>
    <col min="6663" max="6663" width="91.33203125" customWidth="1"/>
    <col min="6913" max="6913" width="7" customWidth="1"/>
    <col min="6914" max="6914" width="45.44140625" customWidth="1"/>
    <col min="6915" max="6915" width="15.109375" customWidth="1"/>
    <col min="6916" max="6916" width="14.5546875" customWidth="1"/>
    <col min="6917" max="6918" width="16" customWidth="1"/>
    <col min="6919" max="6919" width="91.33203125" customWidth="1"/>
    <col min="7169" max="7169" width="7" customWidth="1"/>
    <col min="7170" max="7170" width="45.44140625" customWidth="1"/>
    <col min="7171" max="7171" width="15.109375" customWidth="1"/>
    <col min="7172" max="7172" width="14.5546875" customWidth="1"/>
    <col min="7173" max="7174" width="16" customWidth="1"/>
    <col min="7175" max="7175" width="91.33203125" customWidth="1"/>
    <col min="7425" max="7425" width="7" customWidth="1"/>
    <col min="7426" max="7426" width="45.44140625" customWidth="1"/>
    <col min="7427" max="7427" width="15.109375" customWidth="1"/>
    <col min="7428" max="7428" width="14.5546875" customWidth="1"/>
    <col min="7429" max="7430" width="16" customWidth="1"/>
    <col min="7431" max="7431" width="91.33203125" customWidth="1"/>
    <col min="7681" max="7681" width="7" customWidth="1"/>
    <col min="7682" max="7682" width="45.44140625" customWidth="1"/>
    <col min="7683" max="7683" width="15.109375" customWidth="1"/>
    <col min="7684" max="7684" width="14.5546875" customWidth="1"/>
    <col min="7685" max="7686" width="16" customWidth="1"/>
    <col min="7687" max="7687" width="91.33203125" customWidth="1"/>
    <col min="7937" max="7937" width="7" customWidth="1"/>
    <col min="7938" max="7938" width="45.44140625" customWidth="1"/>
    <col min="7939" max="7939" width="15.109375" customWidth="1"/>
    <col min="7940" max="7940" width="14.5546875" customWidth="1"/>
    <col min="7941" max="7942" width="16" customWidth="1"/>
    <col min="7943" max="7943" width="91.33203125" customWidth="1"/>
    <col min="8193" max="8193" width="7" customWidth="1"/>
    <col min="8194" max="8194" width="45.44140625" customWidth="1"/>
    <col min="8195" max="8195" width="15.109375" customWidth="1"/>
    <col min="8196" max="8196" width="14.5546875" customWidth="1"/>
    <col min="8197" max="8198" width="16" customWidth="1"/>
    <col min="8199" max="8199" width="91.33203125" customWidth="1"/>
    <col min="8449" max="8449" width="7" customWidth="1"/>
    <col min="8450" max="8450" width="45.44140625" customWidth="1"/>
    <col min="8451" max="8451" width="15.109375" customWidth="1"/>
    <col min="8452" max="8452" width="14.5546875" customWidth="1"/>
    <col min="8453" max="8454" width="16" customWidth="1"/>
    <col min="8455" max="8455" width="91.33203125" customWidth="1"/>
    <col min="8705" max="8705" width="7" customWidth="1"/>
    <col min="8706" max="8706" width="45.44140625" customWidth="1"/>
    <col min="8707" max="8707" width="15.109375" customWidth="1"/>
    <col min="8708" max="8708" width="14.5546875" customWidth="1"/>
    <col min="8709" max="8710" width="16" customWidth="1"/>
    <col min="8711" max="8711" width="91.33203125" customWidth="1"/>
    <col min="8961" max="8961" width="7" customWidth="1"/>
    <col min="8962" max="8962" width="45.44140625" customWidth="1"/>
    <col min="8963" max="8963" width="15.109375" customWidth="1"/>
    <col min="8964" max="8964" width="14.5546875" customWidth="1"/>
    <col min="8965" max="8966" width="16" customWidth="1"/>
    <col min="8967" max="8967" width="91.33203125" customWidth="1"/>
    <col min="9217" max="9217" width="7" customWidth="1"/>
    <col min="9218" max="9218" width="45.44140625" customWidth="1"/>
    <col min="9219" max="9219" width="15.109375" customWidth="1"/>
    <col min="9220" max="9220" width="14.5546875" customWidth="1"/>
    <col min="9221" max="9222" width="16" customWidth="1"/>
    <col min="9223" max="9223" width="91.33203125" customWidth="1"/>
    <col min="9473" max="9473" width="7" customWidth="1"/>
    <col min="9474" max="9474" width="45.44140625" customWidth="1"/>
    <col min="9475" max="9475" width="15.109375" customWidth="1"/>
    <col min="9476" max="9476" width="14.5546875" customWidth="1"/>
    <col min="9477" max="9478" width="16" customWidth="1"/>
    <col min="9479" max="9479" width="91.33203125" customWidth="1"/>
    <col min="9729" max="9729" width="7" customWidth="1"/>
    <col min="9730" max="9730" width="45.44140625" customWidth="1"/>
    <col min="9731" max="9731" width="15.109375" customWidth="1"/>
    <col min="9732" max="9732" width="14.5546875" customWidth="1"/>
    <col min="9733" max="9734" width="16" customWidth="1"/>
    <col min="9735" max="9735" width="91.33203125" customWidth="1"/>
    <col min="9985" max="9985" width="7" customWidth="1"/>
    <col min="9986" max="9986" width="45.44140625" customWidth="1"/>
    <col min="9987" max="9987" width="15.109375" customWidth="1"/>
    <col min="9988" max="9988" width="14.5546875" customWidth="1"/>
    <col min="9989" max="9990" width="16" customWidth="1"/>
    <col min="9991" max="9991" width="91.33203125" customWidth="1"/>
    <col min="10241" max="10241" width="7" customWidth="1"/>
    <col min="10242" max="10242" width="45.44140625" customWidth="1"/>
    <col min="10243" max="10243" width="15.109375" customWidth="1"/>
    <col min="10244" max="10244" width="14.5546875" customWidth="1"/>
    <col min="10245" max="10246" width="16" customWidth="1"/>
    <col min="10247" max="10247" width="91.33203125" customWidth="1"/>
    <col min="10497" max="10497" width="7" customWidth="1"/>
    <col min="10498" max="10498" width="45.44140625" customWidth="1"/>
    <col min="10499" max="10499" width="15.109375" customWidth="1"/>
    <col min="10500" max="10500" width="14.5546875" customWidth="1"/>
    <col min="10501" max="10502" width="16" customWidth="1"/>
    <col min="10503" max="10503" width="91.33203125" customWidth="1"/>
    <col min="10753" max="10753" width="7" customWidth="1"/>
    <col min="10754" max="10754" width="45.44140625" customWidth="1"/>
    <col min="10755" max="10755" width="15.109375" customWidth="1"/>
    <col min="10756" max="10756" width="14.5546875" customWidth="1"/>
    <col min="10757" max="10758" width="16" customWidth="1"/>
    <col min="10759" max="10759" width="91.33203125" customWidth="1"/>
    <col min="11009" max="11009" width="7" customWidth="1"/>
    <col min="11010" max="11010" width="45.44140625" customWidth="1"/>
    <col min="11011" max="11011" width="15.109375" customWidth="1"/>
    <col min="11012" max="11012" width="14.5546875" customWidth="1"/>
    <col min="11013" max="11014" width="16" customWidth="1"/>
    <col min="11015" max="11015" width="91.33203125" customWidth="1"/>
    <col min="11265" max="11265" width="7" customWidth="1"/>
    <col min="11266" max="11266" width="45.44140625" customWidth="1"/>
    <col min="11267" max="11267" width="15.109375" customWidth="1"/>
    <col min="11268" max="11268" width="14.5546875" customWidth="1"/>
    <col min="11269" max="11270" width="16" customWidth="1"/>
    <col min="11271" max="11271" width="91.33203125" customWidth="1"/>
    <col min="11521" max="11521" width="7" customWidth="1"/>
    <col min="11522" max="11522" width="45.44140625" customWidth="1"/>
    <col min="11523" max="11523" width="15.109375" customWidth="1"/>
    <col min="11524" max="11524" width="14.5546875" customWidth="1"/>
    <col min="11525" max="11526" width="16" customWidth="1"/>
    <col min="11527" max="11527" width="91.33203125" customWidth="1"/>
    <col min="11777" max="11777" width="7" customWidth="1"/>
    <col min="11778" max="11778" width="45.44140625" customWidth="1"/>
    <col min="11779" max="11779" width="15.109375" customWidth="1"/>
    <col min="11780" max="11780" width="14.5546875" customWidth="1"/>
    <col min="11781" max="11782" width="16" customWidth="1"/>
    <col min="11783" max="11783" width="91.33203125" customWidth="1"/>
    <col min="12033" max="12033" width="7" customWidth="1"/>
    <col min="12034" max="12034" width="45.44140625" customWidth="1"/>
    <col min="12035" max="12035" width="15.109375" customWidth="1"/>
    <col min="12036" max="12036" width="14.5546875" customWidth="1"/>
    <col min="12037" max="12038" width="16" customWidth="1"/>
    <col min="12039" max="12039" width="91.33203125" customWidth="1"/>
    <col min="12289" max="12289" width="7" customWidth="1"/>
    <col min="12290" max="12290" width="45.44140625" customWidth="1"/>
    <col min="12291" max="12291" width="15.109375" customWidth="1"/>
    <col min="12292" max="12292" width="14.5546875" customWidth="1"/>
    <col min="12293" max="12294" width="16" customWidth="1"/>
    <col min="12295" max="12295" width="91.33203125" customWidth="1"/>
    <col min="12545" max="12545" width="7" customWidth="1"/>
    <col min="12546" max="12546" width="45.44140625" customWidth="1"/>
    <col min="12547" max="12547" width="15.109375" customWidth="1"/>
    <col min="12548" max="12548" width="14.5546875" customWidth="1"/>
    <col min="12549" max="12550" width="16" customWidth="1"/>
    <col min="12551" max="12551" width="91.33203125" customWidth="1"/>
    <col min="12801" max="12801" width="7" customWidth="1"/>
    <col min="12802" max="12802" width="45.44140625" customWidth="1"/>
    <col min="12803" max="12803" width="15.109375" customWidth="1"/>
    <col min="12804" max="12804" width="14.5546875" customWidth="1"/>
    <col min="12805" max="12806" width="16" customWidth="1"/>
    <col min="12807" max="12807" width="91.33203125" customWidth="1"/>
    <col min="13057" max="13057" width="7" customWidth="1"/>
    <col min="13058" max="13058" width="45.44140625" customWidth="1"/>
    <col min="13059" max="13059" width="15.109375" customWidth="1"/>
    <col min="13060" max="13060" width="14.5546875" customWidth="1"/>
    <col min="13061" max="13062" width="16" customWidth="1"/>
    <col min="13063" max="13063" width="91.33203125" customWidth="1"/>
    <col min="13313" max="13313" width="7" customWidth="1"/>
    <col min="13314" max="13314" width="45.44140625" customWidth="1"/>
    <col min="13315" max="13315" width="15.109375" customWidth="1"/>
    <col min="13316" max="13316" width="14.5546875" customWidth="1"/>
    <col min="13317" max="13318" width="16" customWidth="1"/>
    <col min="13319" max="13319" width="91.33203125" customWidth="1"/>
    <col min="13569" max="13569" width="7" customWidth="1"/>
    <col min="13570" max="13570" width="45.44140625" customWidth="1"/>
    <col min="13571" max="13571" width="15.109375" customWidth="1"/>
    <col min="13572" max="13572" width="14.5546875" customWidth="1"/>
    <col min="13573" max="13574" width="16" customWidth="1"/>
    <col min="13575" max="13575" width="91.33203125" customWidth="1"/>
    <col min="13825" max="13825" width="7" customWidth="1"/>
    <col min="13826" max="13826" width="45.44140625" customWidth="1"/>
    <col min="13827" max="13827" width="15.109375" customWidth="1"/>
    <col min="13828" max="13828" width="14.5546875" customWidth="1"/>
    <col min="13829" max="13830" width="16" customWidth="1"/>
    <col min="13831" max="13831" width="91.33203125" customWidth="1"/>
    <col min="14081" max="14081" width="7" customWidth="1"/>
    <col min="14082" max="14082" width="45.44140625" customWidth="1"/>
    <col min="14083" max="14083" width="15.109375" customWidth="1"/>
    <col min="14084" max="14084" width="14.5546875" customWidth="1"/>
    <col min="14085" max="14086" width="16" customWidth="1"/>
    <col min="14087" max="14087" width="91.33203125" customWidth="1"/>
    <col min="14337" max="14337" width="7" customWidth="1"/>
    <col min="14338" max="14338" width="45.44140625" customWidth="1"/>
    <col min="14339" max="14339" width="15.109375" customWidth="1"/>
    <col min="14340" max="14340" width="14.5546875" customWidth="1"/>
    <col min="14341" max="14342" width="16" customWidth="1"/>
    <col min="14343" max="14343" width="91.33203125" customWidth="1"/>
    <col min="14593" max="14593" width="7" customWidth="1"/>
    <col min="14594" max="14594" width="45.44140625" customWidth="1"/>
    <col min="14595" max="14595" width="15.109375" customWidth="1"/>
    <col min="14596" max="14596" width="14.5546875" customWidth="1"/>
    <col min="14597" max="14598" width="16" customWidth="1"/>
    <col min="14599" max="14599" width="91.33203125" customWidth="1"/>
    <col min="14849" max="14849" width="7" customWidth="1"/>
    <col min="14850" max="14850" width="45.44140625" customWidth="1"/>
    <col min="14851" max="14851" width="15.109375" customWidth="1"/>
    <col min="14852" max="14852" width="14.5546875" customWidth="1"/>
    <col min="14853" max="14854" width="16" customWidth="1"/>
    <col min="14855" max="14855" width="91.33203125" customWidth="1"/>
    <col min="15105" max="15105" width="7" customWidth="1"/>
    <col min="15106" max="15106" width="45.44140625" customWidth="1"/>
    <col min="15107" max="15107" width="15.109375" customWidth="1"/>
    <col min="15108" max="15108" width="14.5546875" customWidth="1"/>
    <col min="15109" max="15110" width="16" customWidth="1"/>
    <col min="15111" max="15111" width="91.33203125" customWidth="1"/>
    <col min="15361" max="15361" width="7" customWidth="1"/>
    <col min="15362" max="15362" width="45.44140625" customWidth="1"/>
    <col min="15363" max="15363" width="15.109375" customWidth="1"/>
    <col min="15364" max="15364" width="14.5546875" customWidth="1"/>
    <col min="15365" max="15366" width="16" customWidth="1"/>
    <col min="15367" max="15367" width="91.33203125" customWidth="1"/>
    <col min="15617" max="15617" width="7" customWidth="1"/>
    <col min="15618" max="15618" width="45.44140625" customWidth="1"/>
    <col min="15619" max="15619" width="15.109375" customWidth="1"/>
    <col min="15620" max="15620" width="14.5546875" customWidth="1"/>
    <col min="15621" max="15622" width="16" customWidth="1"/>
    <col min="15623" max="15623" width="91.33203125" customWidth="1"/>
    <col min="15873" max="15873" width="7" customWidth="1"/>
    <col min="15874" max="15874" width="45.44140625" customWidth="1"/>
    <col min="15875" max="15875" width="15.109375" customWidth="1"/>
    <col min="15876" max="15876" width="14.5546875" customWidth="1"/>
    <col min="15877" max="15878" width="16" customWidth="1"/>
    <col min="15879" max="15879" width="91.33203125" customWidth="1"/>
    <col min="16129" max="16129" width="7" customWidth="1"/>
    <col min="16130" max="16130" width="45.44140625" customWidth="1"/>
    <col min="16131" max="16131" width="15.109375" customWidth="1"/>
    <col min="16132" max="16132" width="14.5546875" customWidth="1"/>
    <col min="16133" max="16134" width="16" customWidth="1"/>
    <col min="16135" max="16135" width="91.33203125" customWidth="1"/>
  </cols>
  <sheetData>
    <row r="1" spans="1:7" ht="17.25" customHeight="1">
      <c r="A1" s="1273" t="s">
        <v>3744</v>
      </c>
      <c r="B1" s="1274"/>
      <c r="C1" s="1274"/>
      <c r="D1" s="1274"/>
      <c r="E1" s="1274"/>
      <c r="F1" s="1274"/>
      <c r="G1" s="1274"/>
    </row>
    <row r="2" spans="1:7" ht="6" customHeight="1" thickBot="1">
      <c r="A2" s="629"/>
      <c r="B2" s="630"/>
      <c r="C2" s="631"/>
      <c r="D2" s="631"/>
      <c r="E2" s="631"/>
      <c r="F2" s="631"/>
      <c r="G2" s="632"/>
    </row>
    <row r="3" spans="1:7" ht="29.25" customHeight="1" thickBot="1">
      <c r="A3" s="633" t="s">
        <v>3745</v>
      </c>
      <c r="B3" s="634" t="s">
        <v>3746</v>
      </c>
      <c r="C3" s="635" t="s">
        <v>3747</v>
      </c>
      <c r="D3" s="635" t="s">
        <v>1292</v>
      </c>
      <c r="E3" s="635" t="s">
        <v>3580</v>
      </c>
      <c r="F3" s="635" t="s">
        <v>3748</v>
      </c>
      <c r="G3" s="634" t="s">
        <v>3749</v>
      </c>
    </row>
    <row r="4" spans="1:7" ht="5.25" customHeight="1">
      <c r="A4" s="636"/>
      <c r="B4" s="637"/>
      <c r="C4" s="631"/>
      <c r="D4" s="631"/>
      <c r="E4" s="631"/>
      <c r="F4" s="638"/>
      <c r="G4" s="632"/>
    </row>
    <row r="5" spans="1:7" ht="25.5" customHeight="1">
      <c r="A5" s="1269" t="s">
        <v>1444</v>
      </c>
      <c r="B5" s="639" t="s">
        <v>3750</v>
      </c>
      <c r="C5" s="640">
        <v>1000000</v>
      </c>
      <c r="D5" s="640">
        <v>1000000</v>
      </c>
      <c r="E5" s="641">
        <f>C5-D5</f>
        <v>0</v>
      </c>
      <c r="F5" s="642" t="s">
        <v>3751</v>
      </c>
      <c r="G5" s="639" t="s">
        <v>3752</v>
      </c>
    </row>
    <row r="6" spans="1:7" ht="25.5" customHeight="1">
      <c r="A6" s="1270"/>
      <c r="B6" s="639" t="s">
        <v>3753</v>
      </c>
      <c r="C6" s="640">
        <v>1500000</v>
      </c>
      <c r="D6" s="640">
        <v>1398669</v>
      </c>
      <c r="E6" s="641">
        <f>C6-D6</f>
        <v>101331</v>
      </c>
      <c r="F6" s="642" t="s">
        <v>3751</v>
      </c>
      <c r="G6" s="639" t="s">
        <v>3754</v>
      </c>
    </row>
    <row r="7" spans="1:7" ht="25.5" customHeight="1">
      <c r="A7" s="1270"/>
      <c r="B7" s="639" t="s">
        <v>3755</v>
      </c>
      <c r="C7" s="640">
        <v>547605</v>
      </c>
      <c r="D7" s="640">
        <v>547605</v>
      </c>
      <c r="E7" s="641">
        <f>C7-D7</f>
        <v>0</v>
      </c>
      <c r="F7" s="642" t="s">
        <v>3756</v>
      </c>
      <c r="G7" s="639" t="s">
        <v>3757</v>
      </c>
    </row>
    <row r="8" spans="1:7" ht="15" customHeight="1">
      <c r="A8" s="1275"/>
      <c r="B8" s="643" t="s">
        <v>1780</v>
      </c>
      <c r="C8" s="644">
        <f>SUM(C5:C7)</f>
        <v>3047605</v>
      </c>
      <c r="D8" s="644">
        <f>SUM(D5:D7)</f>
        <v>2946274</v>
      </c>
      <c r="E8" s="644">
        <f>SUM(E5:E7)</f>
        <v>101331</v>
      </c>
      <c r="F8" s="645"/>
      <c r="G8" s="639"/>
    </row>
    <row r="9" spans="1:7" ht="25.5" customHeight="1">
      <c r="A9" s="1269" t="s">
        <v>1499</v>
      </c>
      <c r="B9" s="639" t="s">
        <v>3758</v>
      </c>
      <c r="C9" s="641">
        <v>4000000</v>
      </c>
      <c r="D9" s="641">
        <v>0</v>
      </c>
      <c r="E9" s="641">
        <f>C9-D9</f>
        <v>4000000</v>
      </c>
      <c r="F9" s="642" t="s">
        <v>3751</v>
      </c>
      <c r="G9" s="639" t="s">
        <v>3759</v>
      </c>
    </row>
    <row r="10" spans="1:7" ht="25.5" customHeight="1">
      <c r="A10" s="1223"/>
      <c r="B10" s="639" t="s">
        <v>3760</v>
      </c>
      <c r="C10" s="640">
        <v>291608</v>
      </c>
      <c r="D10" s="640">
        <v>291608</v>
      </c>
      <c r="E10" s="641">
        <f>C10-D10</f>
        <v>0</v>
      </c>
      <c r="F10" s="642" t="s">
        <v>3751</v>
      </c>
      <c r="G10" s="639" t="s">
        <v>3761</v>
      </c>
    </row>
    <row r="11" spans="1:7" ht="38.25" customHeight="1">
      <c r="A11" s="1223"/>
      <c r="B11" s="639" t="s">
        <v>3760</v>
      </c>
      <c r="C11" s="640">
        <v>111461</v>
      </c>
      <c r="D11" s="640">
        <v>111461</v>
      </c>
      <c r="E11" s="641">
        <f>C11-D11</f>
        <v>0</v>
      </c>
      <c r="F11" s="642" t="s">
        <v>3751</v>
      </c>
      <c r="G11" s="639" t="s">
        <v>3762</v>
      </c>
    </row>
    <row r="12" spans="1:7" ht="25.5" customHeight="1">
      <c r="A12" s="1223"/>
      <c r="B12" s="639" t="s">
        <v>3760</v>
      </c>
      <c r="C12" s="640">
        <v>3300000</v>
      </c>
      <c r="D12" s="640">
        <v>0</v>
      </c>
      <c r="E12" s="641">
        <f>C12-D12</f>
        <v>3300000</v>
      </c>
      <c r="F12" s="642" t="s">
        <v>3763</v>
      </c>
      <c r="G12" s="639" t="s">
        <v>3764</v>
      </c>
    </row>
    <row r="13" spans="1:7" ht="25.5" customHeight="1">
      <c r="A13" s="1223"/>
      <c r="B13" s="639" t="s">
        <v>3765</v>
      </c>
      <c r="C13" s="640">
        <v>3963747</v>
      </c>
      <c r="D13" s="640">
        <v>3963747</v>
      </c>
      <c r="E13" s="641">
        <f>C13-D13</f>
        <v>0</v>
      </c>
      <c r="F13" s="642" t="s">
        <v>3751</v>
      </c>
      <c r="G13" s="639" t="s">
        <v>3766</v>
      </c>
    </row>
    <row r="14" spans="1:7" ht="15" customHeight="1">
      <c r="A14" s="1223"/>
      <c r="B14" s="643" t="s">
        <v>1783</v>
      </c>
      <c r="C14" s="644">
        <f>SUM(C9:C13)</f>
        <v>11666816</v>
      </c>
      <c r="D14" s="644">
        <f>SUM(D9:D13)</f>
        <v>4366816</v>
      </c>
      <c r="E14" s="644">
        <f>SUM(E9:E13)</f>
        <v>7300000</v>
      </c>
      <c r="F14" s="645"/>
      <c r="G14" s="639"/>
    </row>
    <row r="15" spans="1:7" ht="25.5" customHeight="1">
      <c r="A15" s="1269" t="s">
        <v>1518</v>
      </c>
      <c r="B15" s="646" t="s">
        <v>3767</v>
      </c>
      <c r="C15" s="641">
        <v>3758368</v>
      </c>
      <c r="D15" s="641">
        <v>3758368</v>
      </c>
      <c r="E15" s="641">
        <f t="shared" ref="E15:E35" si="0">C15-D15</f>
        <v>0</v>
      </c>
      <c r="F15" s="642" t="s">
        <v>3751</v>
      </c>
      <c r="G15" s="639" t="s">
        <v>3768</v>
      </c>
    </row>
    <row r="16" spans="1:7" ht="25.5" customHeight="1">
      <c r="A16" s="1276"/>
      <c r="B16" s="646" t="s">
        <v>3769</v>
      </c>
      <c r="C16" s="641">
        <v>656250</v>
      </c>
      <c r="D16" s="641">
        <v>656250</v>
      </c>
      <c r="E16" s="641">
        <f t="shared" si="0"/>
        <v>0</v>
      </c>
      <c r="F16" s="642" t="s">
        <v>3751</v>
      </c>
      <c r="G16" s="639" t="s">
        <v>3770</v>
      </c>
    </row>
    <row r="17" spans="1:7" ht="25.5" customHeight="1">
      <c r="A17" s="1276"/>
      <c r="B17" s="647" t="s">
        <v>3771</v>
      </c>
      <c r="C17" s="648">
        <v>3777611</v>
      </c>
      <c r="D17" s="648">
        <v>3777611</v>
      </c>
      <c r="E17" s="641">
        <f t="shared" si="0"/>
        <v>0</v>
      </c>
      <c r="F17" s="642" t="s">
        <v>3751</v>
      </c>
      <c r="G17" s="647" t="s">
        <v>3772</v>
      </c>
    </row>
    <row r="18" spans="1:7" ht="25.5" customHeight="1">
      <c r="A18" s="1276"/>
      <c r="B18" s="647" t="s">
        <v>3773</v>
      </c>
      <c r="C18" s="648">
        <v>192360</v>
      </c>
      <c r="D18" s="648">
        <v>192360</v>
      </c>
      <c r="E18" s="641">
        <f t="shared" si="0"/>
        <v>0</v>
      </c>
      <c r="F18" s="642" t="s">
        <v>3756</v>
      </c>
      <c r="G18" s="647" t="s">
        <v>3774</v>
      </c>
    </row>
    <row r="19" spans="1:7" ht="25.5" customHeight="1">
      <c r="A19" s="1276"/>
      <c r="B19" s="647" t="s">
        <v>3775</v>
      </c>
      <c r="C19" s="648">
        <v>1900000</v>
      </c>
      <c r="D19" s="648">
        <v>1900000</v>
      </c>
      <c r="E19" s="641">
        <f t="shared" si="0"/>
        <v>0</v>
      </c>
      <c r="F19" s="642" t="s">
        <v>3751</v>
      </c>
      <c r="G19" s="647" t="s">
        <v>3776</v>
      </c>
    </row>
    <row r="20" spans="1:7" ht="25.5" customHeight="1">
      <c r="A20" s="1276"/>
      <c r="B20" s="647" t="s">
        <v>3777</v>
      </c>
      <c r="C20" s="648">
        <v>1000000</v>
      </c>
      <c r="D20" s="648">
        <v>300000</v>
      </c>
      <c r="E20" s="641">
        <f t="shared" si="0"/>
        <v>700000</v>
      </c>
      <c r="F20" s="642" t="s">
        <v>3751</v>
      </c>
      <c r="G20" s="647" t="s">
        <v>3778</v>
      </c>
    </row>
    <row r="21" spans="1:7" ht="25.5" customHeight="1">
      <c r="A21" s="1276"/>
      <c r="B21" s="647" t="s">
        <v>3779</v>
      </c>
      <c r="C21" s="648">
        <v>150000</v>
      </c>
      <c r="D21" s="648">
        <v>0</v>
      </c>
      <c r="E21" s="641">
        <f t="shared" si="0"/>
        <v>150000</v>
      </c>
      <c r="F21" s="642" t="s">
        <v>3751</v>
      </c>
      <c r="G21" s="647" t="s">
        <v>3780</v>
      </c>
    </row>
    <row r="22" spans="1:7" ht="25.5" customHeight="1">
      <c r="A22" s="1276"/>
      <c r="B22" s="647" t="s">
        <v>3779</v>
      </c>
      <c r="C22" s="648">
        <v>350000</v>
      </c>
      <c r="D22" s="648">
        <v>318768</v>
      </c>
      <c r="E22" s="641">
        <f t="shared" si="0"/>
        <v>31232</v>
      </c>
      <c r="F22" s="642" t="s">
        <v>3751</v>
      </c>
      <c r="G22" s="647" t="s">
        <v>3781</v>
      </c>
    </row>
    <row r="23" spans="1:7" ht="25.5" customHeight="1">
      <c r="A23" s="1276"/>
      <c r="B23" s="647" t="s">
        <v>3779</v>
      </c>
      <c r="C23" s="648">
        <v>1200000</v>
      </c>
      <c r="D23" s="648">
        <v>418043</v>
      </c>
      <c r="E23" s="641">
        <f t="shared" si="0"/>
        <v>781957</v>
      </c>
      <c r="F23" s="642" t="s">
        <v>3751</v>
      </c>
      <c r="G23" s="647" t="s">
        <v>3782</v>
      </c>
    </row>
    <row r="24" spans="1:7" ht="25.5" customHeight="1">
      <c r="A24" s="1276"/>
      <c r="B24" s="647" t="s">
        <v>3783</v>
      </c>
      <c r="C24" s="648">
        <v>250000</v>
      </c>
      <c r="D24" s="648">
        <v>226512</v>
      </c>
      <c r="E24" s="641">
        <f t="shared" si="0"/>
        <v>23488</v>
      </c>
      <c r="F24" s="642" t="s">
        <v>3751</v>
      </c>
      <c r="G24" s="647" t="s">
        <v>3784</v>
      </c>
    </row>
    <row r="25" spans="1:7" ht="25.5" customHeight="1">
      <c r="A25" s="1276"/>
      <c r="B25" s="647" t="s">
        <v>1876</v>
      </c>
      <c r="C25" s="648">
        <v>1800000</v>
      </c>
      <c r="D25" s="648">
        <v>1799999</v>
      </c>
      <c r="E25" s="641">
        <f t="shared" si="0"/>
        <v>1</v>
      </c>
      <c r="F25" s="642" t="s">
        <v>3751</v>
      </c>
      <c r="G25" s="647" t="s">
        <v>3785</v>
      </c>
    </row>
    <row r="26" spans="1:7" ht="25.5" customHeight="1">
      <c r="A26" s="1276"/>
      <c r="B26" s="647" t="s">
        <v>3786</v>
      </c>
      <c r="C26" s="648">
        <v>3000000</v>
      </c>
      <c r="D26" s="648">
        <v>2123155</v>
      </c>
      <c r="E26" s="641">
        <f t="shared" si="0"/>
        <v>876845</v>
      </c>
      <c r="F26" s="642" t="s">
        <v>3763</v>
      </c>
      <c r="G26" s="647" t="s">
        <v>3787</v>
      </c>
    </row>
    <row r="27" spans="1:7" ht="25.5" customHeight="1">
      <c r="A27" s="1276"/>
      <c r="B27" s="647" t="s">
        <v>3788</v>
      </c>
      <c r="C27" s="648">
        <v>300000</v>
      </c>
      <c r="D27" s="648">
        <v>300000</v>
      </c>
      <c r="E27" s="641">
        <f t="shared" si="0"/>
        <v>0</v>
      </c>
      <c r="F27" s="642" t="s">
        <v>3763</v>
      </c>
      <c r="G27" s="647" t="s">
        <v>3789</v>
      </c>
    </row>
    <row r="28" spans="1:7" ht="25.5" customHeight="1">
      <c r="A28" s="1276"/>
      <c r="B28" s="647" t="s">
        <v>3790</v>
      </c>
      <c r="C28" s="648">
        <v>1500000</v>
      </c>
      <c r="D28" s="648">
        <v>1500000</v>
      </c>
      <c r="E28" s="641">
        <f t="shared" si="0"/>
        <v>0</v>
      </c>
      <c r="F28" s="642" t="s">
        <v>3763</v>
      </c>
      <c r="G28" s="647" t="s">
        <v>3791</v>
      </c>
    </row>
    <row r="29" spans="1:7" ht="25.5" customHeight="1">
      <c r="A29" s="1276"/>
      <c r="B29" s="647" t="s">
        <v>3792</v>
      </c>
      <c r="C29" s="648">
        <v>700000</v>
      </c>
      <c r="D29" s="648">
        <v>694000</v>
      </c>
      <c r="E29" s="641">
        <f t="shared" si="0"/>
        <v>6000</v>
      </c>
      <c r="F29" s="642" t="s">
        <v>3763</v>
      </c>
      <c r="G29" s="647" t="s">
        <v>3793</v>
      </c>
    </row>
    <row r="30" spans="1:7" ht="25.5" customHeight="1">
      <c r="A30" s="1276"/>
      <c r="B30" s="647" t="s">
        <v>3794</v>
      </c>
      <c r="C30" s="648">
        <v>150000</v>
      </c>
      <c r="D30" s="648">
        <v>150000</v>
      </c>
      <c r="E30" s="641">
        <f t="shared" si="0"/>
        <v>0</v>
      </c>
      <c r="F30" s="642" t="s">
        <v>3763</v>
      </c>
      <c r="G30" s="647" t="s">
        <v>3795</v>
      </c>
    </row>
    <row r="31" spans="1:7" ht="25.5" customHeight="1">
      <c r="A31" s="1276"/>
      <c r="B31" s="647" t="s">
        <v>3788</v>
      </c>
      <c r="C31" s="648">
        <v>100000</v>
      </c>
      <c r="D31" s="648">
        <v>100000</v>
      </c>
      <c r="E31" s="641">
        <f t="shared" si="0"/>
        <v>0</v>
      </c>
      <c r="F31" s="642" t="s">
        <v>3763</v>
      </c>
      <c r="G31" s="647" t="s">
        <v>3796</v>
      </c>
    </row>
    <row r="32" spans="1:7" ht="25.5" customHeight="1">
      <c r="A32" s="1277" t="s">
        <v>1518</v>
      </c>
      <c r="B32" s="647" t="s">
        <v>3797</v>
      </c>
      <c r="C32" s="648">
        <v>342000</v>
      </c>
      <c r="D32" s="648">
        <v>342000</v>
      </c>
      <c r="E32" s="641">
        <f t="shared" si="0"/>
        <v>0</v>
      </c>
      <c r="F32" s="642" t="s">
        <v>3756</v>
      </c>
      <c r="G32" s="647" t="s">
        <v>3798</v>
      </c>
    </row>
    <row r="33" spans="1:7" ht="25.5" customHeight="1">
      <c r="A33" s="1276"/>
      <c r="B33" s="647" t="s">
        <v>3799</v>
      </c>
      <c r="C33" s="648">
        <v>70000</v>
      </c>
      <c r="D33" s="648">
        <v>70000</v>
      </c>
      <c r="E33" s="641">
        <f t="shared" si="0"/>
        <v>0</v>
      </c>
      <c r="F33" s="642" t="s">
        <v>3756</v>
      </c>
      <c r="G33" s="647" t="s">
        <v>3800</v>
      </c>
    </row>
    <row r="34" spans="1:7" ht="36.75" customHeight="1">
      <c r="A34" s="1276"/>
      <c r="B34" s="647" t="s">
        <v>3801</v>
      </c>
      <c r="C34" s="648">
        <v>700000</v>
      </c>
      <c r="D34" s="648">
        <v>700000</v>
      </c>
      <c r="E34" s="641">
        <f t="shared" si="0"/>
        <v>0</v>
      </c>
      <c r="F34" s="642" t="s">
        <v>3756</v>
      </c>
      <c r="G34" s="647" t="s">
        <v>3802</v>
      </c>
    </row>
    <row r="35" spans="1:7" ht="25.5" customHeight="1">
      <c r="A35" s="1276"/>
      <c r="B35" s="647" t="s">
        <v>3803</v>
      </c>
      <c r="C35" s="648">
        <v>200000</v>
      </c>
      <c r="D35" s="648">
        <v>200000</v>
      </c>
      <c r="E35" s="641">
        <f t="shared" si="0"/>
        <v>0</v>
      </c>
      <c r="F35" s="642" t="s">
        <v>3756</v>
      </c>
      <c r="G35" s="647" t="s">
        <v>3804</v>
      </c>
    </row>
    <row r="36" spans="1:7" ht="15" customHeight="1">
      <c r="A36" s="1276"/>
      <c r="B36" s="649" t="s">
        <v>3484</v>
      </c>
      <c r="C36" s="650">
        <f>SUM(C15:C35)</f>
        <v>22096589</v>
      </c>
      <c r="D36" s="650">
        <f>SUM(D15:D35)</f>
        <v>19527066</v>
      </c>
      <c r="E36" s="650">
        <f>SUM(E15:E35)</f>
        <v>2569523</v>
      </c>
      <c r="F36" s="651"/>
      <c r="G36" s="652"/>
    </row>
    <row r="37" spans="1:7" ht="25.5" customHeight="1">
      <c r="A37" s="1269" t="s">
        <v>1354</v>
      </c>
      <c r="B37" s="646" t="s">
        <v>3805</v>
      </c>
      <c r="C37" s="641">
        <v>379551</v>
      </c>
      <c r="D37" s="641">
        <v>358962.4</v>
      </c>
      <c r="E37" s="641">
        <f t="shared" ref="E37:E46" si="1">C37-D37</f>
        <v>20588.599999999977</v>
      </c>
      <c r="F37" s="642" t="s">
        <v>3751</v>
      </c>
      <c r="G37" s="639" t="s">
        <v>3806</v>
      </c>
    </row>
    <row r="38" spans="1:7" ht="25.5" customHeight="1">
      <c r="A38" s="1270"/>
      <c r="B38" s="639" t="s">
        <v>3807</v>
      </c>
      <c r="C38" s="641">
        <v>6969477.2999999998</v>
      </c>
      <c r="D38" s="641">
        <v>6969477.2999999998</v>
      </c>
      <c r="E38" s="641">
        <f t="shared" si="1"/>
        <v>0</v>
      </c>
      <c r="F38" s="642" t="s">
        <v>3751</v>
      </c>
      <c r="G38" s="639" t="s">
        <v>3808</v>
      </c>
    </row>
    <row r="39" spans="1:7" ht="25.5" customHeight="1">
      <c r="A39" s="1270"/>
      <c r="B39" s="639" t="s">
        <v>3809</v>
      </c>
      <c r="C39" s="648">
        <v>1500000</v>
      </c>
      <c r="D39" s="648">
        <v>1500000</v>
      </c>
      <c r="E39" s="641">
        <f t="shared" si="1"/>
        <v>0</v>
      </c>
      <c r="F39" s="642" t="s">
        <v>3751</v>
      </c>
      <c r="G39" s="647" t="s">
        <v>3810</v>
      </c>
    </row>
    <row r="40" spans="1:7" ht="25.5" customHeight="1">
      <c r="A40" s="1270"/>
      <c r="B40" s="639" t="s">
        <v>3811</v>
      </c>
      <c r="C40" s="648">
        <v>1425000</v>
      </c>
      <c r="D40" s="648">
        <v>1230184.3400000001</v>
      </c>
      <c r="E40" s="641">
        <f t="shared" si="1"/>
        <v>194815.65999999992</v>
      </c>
      <c r="F40" s="642" t="s">
        <v>3751</v>
      </c>
      <c r="G40" s="647" t="s">
        <v>3812</v>
      </c>
    </row>
    <row r="41" spans="1:7" ht="25.5" customHeight="1">
      <c r="A41" s="1270"/>
      <c r="B41" s="1271" t="s">
        <v>3813</v>
      </c>
      <c r="C41" s="648">
        <f>4669474+3524479</f>
        <v>8193953</v>
      </c>
      <c r="D41" s="648">
        <v>7975800.2699999996</v>
      </c>
      <c r="E41" s="641">
        <f t="shared" si="1"/>
        <v>218152.73000000045</v>
      </c>
      <c r="F41" s="642" t="s">
        <v>3751</v>
      </c>
      <c r="G41" s="1272" t="s">
        <v>3814</v>
      </c>
    </row>
    <row r="42" spans="1:7" ht="25.5" customHeight="1">
      <c r="A42" s="1270"/>
      <c r="B42" s="1271"/>
      <c r="C42" s="648">
        <v>1430526</v>
      </c>
      <c r="D42" s="648">
        <v>1430526</v>
      </c>
      <c r="E42" s="641">
        <f t="shared" si="1"/>
        <v>0</v>
      </c>
      <c r="F42" s="642" t="s">
        <v>3756</v>
      </c>
      <c r="G42" s="1272"/>
    </row>
    <row r="43" spans="1:7" ht="25.5" customHeight="1">
      <c r="A43" s="1270"/>
      <c r="B43" s="639" t="s">
        <v>3815</v>
      </c>
      <c r="C43" s="648">
        <v>2400000</v>
      </c>
      <c r="D43" s="648">
        <v>2400000</v>
      </c>
      <c r="E43" s="641">
        <f t="shared" si="1"/>
        <v>0</v>
      </c>
      <c r="F43" s="642" t="s">
        <v>3751</v>
      </c>
      <c r="G43" s="647" t="s">
        <v>3816</v>
      </c>
    </row>
    <row r="44" spans="1:7" ht="25.5" customHeight="1">
      <c r="A44" s="1270"/>
      <c r="B44" s="639" t="s">
        <v>3817</v>
      </c>
      <c r="C44" s="648">
        <v>4000000</v>
      </c>
      <c r="D44" s="648">
        <v>0</v>
      </c>
      <c r="E44" s="641">
        <f t="shared" si="1"/>
        <v>4000000</v>
      </c>
      <c r="F44" s="642" t="s">
        <v>3751</v>
      </c>
      <c r="G44" s="647" t="s">
        <v>3818</v>
      </c>
    </row>
    <row r="45" spans="1:7" ht="25.5" customHeight="1">
      <c r="A45" s="1270"/>
      <c r="B45" s="639" t="s">
        <v>3819</v>
      </c>
      <c r="C45" s="648">
        <v>162620</v>
      </c>
      <c r="D45" s="648">
        <v>162620</v>
      </c>
      <c r="E45" s="641">
        <f t="shared" si="1"/>
        <v>0</v>
      </c>
      <c r="F45" s="642" t="s">
        <v>3751</v>
      </c>
      <c r="G45" s="647" t="s">
        <v>3820</v>
      </c>
    </row>
    <row r="46" spans="1:7" ht="25.5" customHeight="1">
      <c r="A46" s="1270"/>
      <c r="B46" s="639" t="s">
        <v>3809</v>
      </c>
      <c r="C46" s="648">
        <v>499542</v>
      </c>
      <c r="D46" s="648">
        <v>483846</v>
      </c>
      <c r="E46" s="641">
        <f t="shared" si="1"/>
        <v>15696</v>
      </c>
      <c r="F46" s="642" t="s">
        <v>3751</v>
      </c>
      <c r="G46" s="647" t="s">
        <v>3821</v>
      </c>
    </row>
    <row r="47" spans="1:7" ht="15" customHeight="1">
      <c r="A47" s="1270"/>
      <c r="B47" s="649" t="s">
        <v>3240</v>
      </c>
      <c r="C47" s="650">
        <f>SUM(C37:C46)</f>
        <v>26960669.300000001</v>
      </c>
      <c r="D47" s="650">
        <f>SUM(D37:D46)</f>
        <v>22511416.309999999</v>
      </c>
      <c r="E47" s="650">
        <f>SUM(E37:E46)</f>
        <v>4449252.99</v>
      </c>
      <c r="F47" s="651"/>
      <c r="G47" s="652"/>
    </row>
    <row r="48" spans="1:7" ht="36.75" customHeight="1">
      <c r="A48" s="1278" t="s">
        <v>1401</v>
      </c>
      <c r="B48" s="647" t="s">
        <v>3822</v>
      </c>
      <c r="C48" s="648">
        <v>903550</v>
      </c>
      <c r="D48" s="648">
        <v>903550</v>
      </c>
      <c r="E48" s="641">
        <f>C48-D48</f>
        <v>0</v>
      </c>
      <c r="F48" s="653" t="s">
        <v>3763</v>
      </c>
      <c r="G48" s="647" t="s">
        <v>3823</v>
      </c>
    </row>
    <row r="49" spans="1:7" ht="15" customHeight="1" thickBot="1">
      <c r="A49" s="1279"/>
      <c r="B49" s="649" t="s">
        <v>3265</v>
      </c>
      <c r="C49" s="650">
        <f>SUM(C48)</f>
        <v>903550</v>
      </c>
      <c r="D49" s="650">
        <f>SUM(D48)</f>
        <v>903550</v>
      </c>
      <c r="E49" s="650">
        <f>SUM(E48)</f>
        <v>0</v>
      </c>
      <c r="F49" s="654"/>
      <c r="G49" s="652"/>
    </row>
    <row r="50" spans="1:7" ht="30.75" customHeight="1">
      <c r="A50" s="1280" t="s">
        <v>3824</v>
      </c>
      <c r="B50" s="1281"/>
      <c r="C50" s="655">
        <f>C8+C14+C36+C47+C49</f>
        <v>64675229.299999997</v>
      </c>
      <c r="D50" s="655">
        <f>D8+D14+D36+D47+D49</f>
        <v>50255122.310000002</v>
      </c>
      <c r="E50" s="655">
        <f>E8+E14+E36+E47+E49</f>
        <v>14420106.99</v>
      </c>
      <c r="F50" s="1282"/>
      <c r="G50" s="1283"/>
    </row>
    <row r="51" spans="1:7" ht="25.5" customHeight="1">
      <c r="A51" s="1262" t="s">
        <v>3825</v>
      </c>
      <c r="B51" s="1288"/>
      <c r="C51" s="1288"/>
      <c r="D51" s="1288"/>
      <c r="E51" s="656">
        <f>E6+E9+E20+E21+E22+E23+E24+E25+E37+E40+E41+E44+E46</f>
        <v>10237261.99</v>
      </c>
      <c r="F51" s="1284"/>
      <c r="G51" s="1285"/>
    </row>
    <row r="52" spans="1:7" ht="25.5" customHeight="1">
      <c r="A52" s="1289" t="s">
        <v>3826</v>
      </c>
      <c r="B52" s="1288"/>
      <c r="C52" s="1288"/>
      <c r="D52" s="1288"/>
      <c r="E52" s="656">
        <f>E12</f>
        <v>3300000</v>
      </c>
      <c r="F52" s="1284"/>
      <c r="G52" s="1285"/>
    </row>
    <row r="53" spans="1:7" ht="25.5" customHeight="1" thickBot="1">
      <c r="A53" s="1290" t="s">
        <v>3827</v>
      </c>
      <c r="B53" s="1291"/>
      <c r="C53" s="1291"/>
      <c r="D53" s="1291"/>
      <c r="E53" s="657">
        <f>E26+E29</f>
        <v>882845</v>
      </c>
      <c r="F53" s="1286"/>
      <c r="G53" s="1287"/>
    </row>
    <row r="54" spans="1:7">
      <c r="A54" s="632"/>
      <c r="B54" s="632"/>
      <c r="C54" s="631"/>
      <c r="D54" s="631"/>
      <c r="E54" s="631"/>
      <c r="F54" s="638"/>
      <c r="G54" s="632"/>
    </row>
    <row r="55" spans="1:7">
      <c r="A55" s="632"/>
      <c r="B55" s="658"/>
      <c r="C55" s="659"/>
      <c r="D55" s="631"/>
      <c r="E55" s="631"/>
      <c r="F55" s="631"/>
      <c r="G55" s="632"/>
    </row>
    <row r="56" spans="1:7">
      <c r="A56" s="632"/>
      <c r="B56" s="632"/>
      <c r="C56" s="631"/>
      <c r="D56" s="631"/>
      <c r="E56" s="631"/>
      <c r="F56" s="631"/>
      <c r="G56" s="632"/>
    </row>
  </sheetData>
  <mergeCells count="14">
    <mergeCell ref="A48:A49"/>
    <mergeCell ref="A50:B50"/>
    <mergeCell ref="F50:G53"/>
    <mergeCell ref="A51:D51"/>
    <mergeCell ref="A52:D52"/>
    <mergeCell ref="A53:D53"/>
    <mergeCell ref="A37:A47"/>
    <mergeCell ref="B41:B42"/>
    <mergeCell ref="G41:G42"/>
    <mergeCell ref="A1:G1"/>
    <mergeCell ref="A5:A8"/>
    <mergeCell ref="A9:A14"/>
    <mergeCell ref="A15:A31"/>
    <mergeCell ref="A32:A36"/>
  </mergeCells>
  <pageMargins left="0.78740157499999996" right="0.78740157499999996" top="0.984251969" bottom="0.984251969" header="0.4921259845" footer="0.4921259845"/>
  <pageSetup paperSize="9" scale="62" orientation="landscape" r:id="rId1"/>
  <headerFooter alignWithMargins="0">
    <oddHeader>&amp;LPříloha č. 22&amp;CZávěrečný účet Plzeňského kraje za rok 2010</oddHeader>
    <oddFooter>&amp;LKrajský úřad Plzeňského kraje
odbor ekonomický&amp;C&amp;P&amp;R&amp;D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Normal="100" workbookViewId="0">
      <selection activeCell="I11" sqref="I11"/>
    </sheetView>
  </sheetViews>
  <sheetFormatPr defaultRowHeight="13.2"/>
  <cols>
    <col min="1" max="1" width="6.109375" style="729" customWidth="1"/>
    <col min="2" max="2" width="40.109375" style="729" customWidth="1"/>
    <col min="3" max="3" width="14.6640625" style="729" customWidth="1"/>
    <col min="4" max="4" width="14" style="729" customWidth="1"/>
    <col min="5" max="5" width="2" style="729" customWidth="1"/>
    <col min="6" max="6" width="13" style="729" customWidth="1"/>
    <col min="7" max="256" width="9.109375" style="729"/>
    <col min="257" max="257" width="6.109375" style="729" customWidth="1"/>
    <col min="258" max="258" width="40.109375" style="729" customWidth="1"/>
    <col min="259" max="259" width="14.6640625" style="729" customWidth="1"/>
    <col min="260" max="260" width="14" style="729" customWidth="1"/>
    <col min="261" max="261" width="2" style="729" customWidth="1"/>
    <col min="262" max="262" width="13" style="729" customWidth="1"/>
    <col min="263" max="512" width="9.109375" style="729"/>
    <col min="513" max="513" width="6.109375" style="729" customWidth="1"/>
    <col min="514" max="514" width="40.109375" style="729" customWidth="1"/>
    <col min="515" max="515" width="14.6640625" style="729" customWidth="1"/>
    <col min="516" max="516" width="14" style="729" customWidth="1"/>
    <col min="517" max="517" width="2" style="729" customWidth="1"/>
    <col min="518" max="518" width="13" style="729" customWidth="1"/>
    <col min="519" max="768" width="9.109375" style="729"/>
    <col min="769" max="769" width="6.109375" style="729" customWidth="1"/>
    <col min="770" max="770" width="40.109375" style="729" customWidth="1"/>
    <col min="771" max="771" width="14.6640625" style="729" customWidth="1"/>
    <col min="772" max="772" width="14" style="729" customWidth="1"/>
    <col min="773" max="773" width="2" style="729" customWidth="1"/>
    <col min="774" max="774" width="13" style="729" customWidth="1"/>
    <col min="775" max="1024" width="9.109375" style="729"/>
    <col min="1025" max="1025" width="6.109375" style="729" customWidth="1"/>
    <col min="1026" max="1026" width="40.109375" style="729" customWidth="1"/>
    <col min="1027" max="1027" width="14.6640625" style="729" customWidth="1"/>
    <col min="1028" max="1028" width="14" style="729" customWidth="1"/>
    <col min="1029" max="1029" width="2" style="729" customWidth="1"/>
    <col min="1030" max="1030" width="13" style="729" customWidth="1"/>
    <col min="1031" max="1280" width="9.109375" style="729"/>
    <col min="1281" max="1281" width="6.109375" style="729" customWidth="1"/>
    <col min="1282" max="1282" width="40.109375" style="729" customWidth="1"/>
    <col min="1283" max="1283" width="14.6640625" style="729" customWidth="1"/>
    <col min="1284" max="1284" width="14" style="729" customWidth="1"/>
    <col min="1285" max="1285" width="2" style="729" customWidth="1"/>
    <col min="1286" max="1286" width="13" style="729" customWidth="1"/>
    <col min="1287" max="1536" width="9.109375" style="729"/>
    <col min="1537" max="1537" width="6.109375" style="729" customWidth="1"/>
    <col min="1538" max="1538" width="40.109375" style="729" customWidth="1"/>
    <col min="1539" max="1539" width="14.6640625" style="729" customWidth="1"/>
    <col min="1540" max="1540" width="14" style="729" customWidth="1"/>
    <col min="1541" max="1541" width="2" style="729" customWidth="1"/>
    <col min="1542" max="1542" width="13" style="729" customWidth="1"/>
    <col min="1543" max="1792" width="9.109375" style="729"/>
    <col min="1793" max="1793" width="6.109375" style="729" customWidth="1"/>
    <col min="1794" max="1794" width="40.109375" style="729" customWidth="1"/>
    <col min="1795" max="1795" width="14.6640625" style="729" customWidth="1"/>
    <col min="1796" max="1796" width="14" style="729" customWidth="1"/>
    <col min="1797" max="1797" width="2" style="729" customWidth="1"/>
    <col min="1798" max="1798" width="13" style="729" customWidth="1"/>
    <col min="1799" max="2048" width="9.109375" style="729"/>
    <col min="2049" max="2049" width="6.109375" style="729" customWidth="1"/>
    <col min="2050" max="2050" width="40.109375" style="729" customWidth="1"/>
    <col min="2051" max="2051" width="14.6640625" style="729" customWidth="1"/>
    <col min="2052" max="2052" width="14" style="729" customWidth="1"/>
    <col min="2053" max="2053" width="2" style="729" customWidth="1"/>
    <col min="2054" max="2054" width="13" style="729" customWidth="1"/>
    <col min="2055" max="2304" width="9.109375" style="729"/>
    <col min="2305" max="2305" width="6.109375" style="729" customWidth="1"/>
    <col min="2306" max="2306" width="40.109375" style="729" customWidth="1"/>
    <col min="2307" max="2307" width="14.6640625" style="729" customWidth="1"/>
    <col min="2308" max="2308" width="14" style="729" customWidth="1"/>
    <col min="2309" max="2309" width="2" style="729" customWidth="1"/>
    <col min="2310" max="2310" width="13" style="729" customWidth="1"/>
    <col min="2311" max="2560" width="9.109375" style="729"/>
    <col min="2561" max="2561" width="6.109375" style="729" customWidth="1"/>
    <col min="2562" max="2562" width="40.109375" style="729" customWidth="1"/>
    <col min="2563" max="2563" width="14.6640625" style="729" customWidth="1"/>
    <col min="2564" max="2564" width="14" style="729" customWidth="1"/>
    <col min="2565" max="2565" width="2" style="729" customWidth="1"/>
    <col min="2566" max="2566" width="13" style="729" customWidth="1"/>
    <col min="2567" max="2816" width="9.109375" style="729"/>
    <col min="2817" max="2817" width="6.109375" style="729" customWidth="1"/>
    <col min="2818" max="2818" width="40.109375" style="729" customWidth="1"/>
    <col min="2819" max="2819" width="14.6640625" style="729" customWidth="1"/>
    <col min="2820" max="2820" width="14" style="729" customWidth="1"/>
    <col min="2821" max="2821" width="2" style="729" customWidth="1"/>
    <col min="2822" max="2822" width="13" style="729" customWidth="1"/>
    <col min="2823" max="3072" width="9.109375" style="729"/>
    <col min="3073" max="3073" width="6.109375" style="729" customWidth="1"/>
    <col min="3074" max="3074" width="40.109375" style="729" customWidth="1"/>
    <col min="3075" max="3075" width="14.6640625" style="729" customWidth="1"/>
    <col min="3076" max="3076" width="14" style="729" customWidth="1"/>
    <col min="3077" max="3077" width="2" style="729" customWidth="1"/>
    <col min="3078" max="3078" width="13" style="729" customWidth="1"/>
    <col min="3079" max="3328" width="9.109375" style="729"/>
    <col min="3329" max="3329" width="6.109375" style="729" customWidth="1"/>
    <col min="3330" max="3330" width="40.109375" style="729" customWidth="1"/>
    <col min="3331" max="3331" width="14.6640625" style="729" customWidth="1"/>
    <col min="3332" max="3332" width="14" style="729" customWidth="1"/>
    <col min="3333" max="3333" width="2" style="729" customWidth="1"/>
    <col min="3334" max="3334" width="13" style="729" customWidth="1"/>
    <col min="3335" max="3584" width="9.109375" style="729"/>
    <col min="3585" max="3585" width="6.109375" style="729" customWidth="1"/>
    <col min="3586" max="3586" width="40.109375" style="729" customWidth="1"/>
    <col min="3587" max="3587" width="14.6640625" style="729" customWidth="1"/>
    <col min="3588" max="3588" width="14" style="729" customWidth="1"/>
    <col min="3589" max="3589" width="2" style="729" customWidth="1"/>
    <col min="3590" max="3590" width="13" style="729" customWidth="1"/>
    <col min="3591" max="3840" width="9.109375" style="729"/>
    <col min="3841" max="3841" width="6.109375" style="729" customWidth="1"/>
    <col min="3842" max="3842" width="40.109375" style="729" customWidth="1"/>
    <col min="3843" max="3843" width="14.6640625" style="729" customWidth="1"/>
    <col min="3844" max="3844" width="14" style="729" customWidth="1"/>
    <col min="3845" max="3845" width="2" style="729" customWidth="1"/>
    <col min="3846" max="3846" width="13" style="729" customWidth="1"/>
    <col min="3847" max="4096" width="9.109375" style="729"/>
    <col min="4097" max="4097" width="6.109375" style="729" customWidth="1"/>
    <col min="4098" max="4098" width="40.109375" style="729" customWidth="1"/>
    <col min="4099" max="4099" width="14.6640625" style="729" customWidth="1"/>
    <col min="4100" max="4100" width="14" style="729" customWidth="1"/>
    <col min="4101" max="4101" width="2" style="729" customWidth="1"/>
    <col min="4102" max="4102" width="13" style="729" customWidth="1"/>
    <col min="4103" max="4352" width="9.109375" style="729"/>
    <col min="4353" max="4353" width="6.109375" style="729" customWidth="1"/>
    <col min="4354" max="4354" width="40.109375" style="729" customWidth="1"/>
    <col min="4355" max="4355" width="14.6640625" style="729" customWidth="1"/>
    <col min="4356" max="4356" width="14" style="729" customWidth="1"/>
    <col min="4357" max="4357" width="2" style="729" customWidth="1"/>
    <col min="4358" max="4358" width="13" style="729" customWidth="1"/>
    <col min="4359" max="4608" width="9.109375" style="729"/>
    <col min="4609" max="4609" width="6.109375" style="729" customWidth="1"/>
    <col min="4610" max="4610" width="40.109375" style="729" customWidth="1"/>
    <col min="4611" max="4611" width="14.6640625" style="729" customWidth="1"/>
    <col min="4612" max="4612" width="14" style="729" customWidth="1"/>
    <col min="4613" max="4613" width="2" style="729" customWidth="1"/>
    <col min="4614" max="4614" width="13" style="729" customWidth="1"/>
    <col min="4615" max="4864" width="9.109375" style="729"/>
    <col min="4865" max="4865" width="6.109375" style="729" customWidth="1"/>
    <col min="4866" max="4866" width="40.109375" style="729" customWidth="1"/>
    <col min="4867" max="4867" width="14.6640625" style="729" customWidth="1"/>
    <col min="4868" max="4868" width="14" style="729" customWidth="1"/>
    <col min="4869" max="4869" width="2" style="729" customWidth="1"/>
    <col min="4870" max="4870" width="13" style="729" customWidth="1"/>
    <col min="4871" max="5120" width="9.109375" style="729"/>
    <col min="5121" max="5121" width="6.109375" style="729" customWidth="1"/>
    <col min="5122" max="5122" width="40.109375" style="729" customWidth="1"/>
    <col min="5123" max="5123" width="14.6640625" style="729" customWidth="1"/>
    <col min="5124" max="5124" width="14" style="729" customWidth="1"/>
    <col min="5125" max="5125" width="2" style="729" customWidth="1"/>
    <col min="5126" max="5126" width="13" style="729" customWidth="1"/>
    <col min="5127" max="5376" width="9.109375" style="729"/>
    <col min="5377" max="5377" width="6.109375" style="729" customWidth="1"/>
    <col min="5378" max="5378" width="40.109375" style="729" customWidth="1"/>
    <col min="5379" max="5379" width="14.6640625" style="729" customWidth="1"/>
    <col min="5380" max="5380" width="14" style="729" customWidth="1"/>
    <col min="5381" max="5381" width="2" style="729" customWidth="1"/>
    <col min="5382" max="5382" width="13" style="729" customWidth="1"/>
    <col min="5383" max="5632" width="9.109375" style="729"/>
    <col min="5633" max="5633" width="6.109375" style="729" customWidth="1"/>
    <col min="5634" max="5634" width="40.109375" style="729" customWidth="1"/>
    <col min="5635" max="5635" width="14.6640625" style="729" customWidth="1"/>
    <col min="5636" max="5636" width="14" style="729" customWidth="1"/>
    <col min="5637" max="5637" width="2" style="729" customWidth="1"/>
    <col min="5638" max="5638" width="13" style="729" customWidth="1"/>
    <col min="5639" max="5888" width="9.109375" style="729"/>
    <col min="5889" max="5889" width="6.109375" style="729" customWidth="1"/>
    <col min="5890" max="5890" width="40.109375" style="729" customWidth="1"/>
    <col min="5891" max="5891" width="14.6640625" style="729" customWidth="1"/>
    <col min="5892" max="5892" width="14" style="729" customWidth="1"/>
    <col min="5893" max="5893" width="2" style="729" customWidth="1"/>
    <col min="5894" max="5894" width="13" style="729" customWidth="1"/>
    <col min="5895" max="6144" width="9.109375" style="729"/>
    <col min="6145" max="6145" width="6.109375" style="729" customWidth="1"/>
    <col min="6146" max="6146" width="40.109375" style="729" customWidth="1"/>
    <col min="6147" max="6147" width="14.6640625" style="729" customWidth="1"/>
    <col min="6148" max="6148" width="14" style="729" customWidth="1"/>
    <col min="6149" max="6149" width="2" style="729" customWidth="1"/>
    <col min="6150" max="6150" width="13" style="729" customWidth="1"/>
    <col min="6151" max="6400" width="9.109375" style="729"/>
    <col min="6401" max="6401" width="6.109375" style="729" customWidth="1"/>
    <col min="6402" max="6402" width="40.109375" style="729" customWidth="1"/>
    <col min="6403" max="6403" width="14.6640625" style="729" customWidth="1"/>
    <col min="6404" max="6404" width="14" style="729" customWidth="1"/>
    <col min="6405" max="6405" width="2" style="729" customWidth="1"/>
    <col min="6406" max="6406" width="13" style="729" customWidth="1"/>
    <col min="6407" max="6656" width="9.109375" style="729"/>
    <col min="6657" max="6657" width="6.109375" style="729" customWidth="1"/>
    <col min="6658" max="6658" width="40.109375" style="729" customWidth="1"/>
    <col min="6659" max="6659" width="14.6640625" style="729" customWidth="1"/>
    <col min="6660" max="6660" width="14" style="729" customWidth="1"/>
    <col min="6661" max="6661" width="2" style="729" customWidth="1"/>
    <col min="6662" max="6662" width="13" style="729" customWidth="1"/>
    <col min="6663" max="6912" width="9.109375" style="729"/>
    <col min="6913" max="6913" width="6.109375" style="729" customWidth="1"/>
    <col min="6914" max="6914" width="40.109375" style="729" customWidth="1"/>
    <col min="6915" max="6915" width="14.6640625" style="729" customWidth="1"/>
    <col min="6916" max="6916" width="14" style="729" customWidth="1"/>
    <col min="6917" max="6917" width="2" style="729" customWidth="1"/>
    <col min="6918" max="6918" width="13" style="729" customWidth="1"/>
    <col min="6919" max="7168" width="9.109375" style="729"/>
    <col min="7169" max="7169" width="6.109375" style="729" customWidth="1"/>
    <col min="7170" max="7170" width="40.109375" style="729" customWidth="1"/>
    <col min="7171" max="7171" width="14.6640625" style="729" customWidth="1"/>
    <col min="7172" max="7172" width="14" style="729" customWidth="1"/>
    <col min="7173" max="7173" width="2" style="729" customWidth="1"/>
    <col min="7174" max="7174" width="13" style="729" customWidth="1"/>
    <col min="7175" max="7424" width="9.109375" style="729"/>
    <col min="7425" max="7425" width="6.109375" style="729" customWidth="1"/>
    <col min="7426" max="7426" width="40.109375" style="729" customWidth="1"/>
    <col min="7427" max="7427" width="14.6640625" style="729" customWidth="1"/>
    <col min="7428" max="7428" width="14" style="729" customWidth="1"/>
    <col min="7429" max="7429" width="2" style="729" customWidth="1"/>
    <col min="7430" max="7430" width="13" style="729" customWidth="1"/>
    <col min="7431" max="7680" width="9.109375" style="729"/>
    <col min="7681" max="7681" width="6.109375" style="729" customWidth="1"/>
    <col min="7682" max="7682" width="40.109375" style="729" customWidth="1"/>
    <col min="7683" max="7683" width="14.6640625" style="729" customWidth="1"/>
    <col min="7684" max="7684" width="14" style="729" customWidth="1"/>
    <col min="7685" max="7685" width="2" style="729" customWidth="1"/>
    <col min="7686" max="7686" width="13" style="729" customWidth="1"/>
    <col min="7687" max="7936" width="9.109375" style="729"/>
    <col min="7937" max="7937" width="6.109375" style="729" customWidth="1"/>
    <col min="7938" max="7938" width="40.109375" style="729" customWidth="1"/>
    <col min="7939" max="7939" width="14.6640625" style="729" customWidth="1"/>
    <col min="7940" max="7940" width="14" style="729" customWidth="1"/>
    <col min="7941" max="7941" width="2" style="729" customWidth="1"/>
    <col min="7942" max="7942" width="13" style="729" customWidth="1"/>
    <col min="7943" max="8192" width="9.109375" style="729"/>
    <col min="8193" max="8193" width="6.109375" style="729" customWidth="1"/>
    <col min="8194" max="8194" width="40.109375" style="729" customWidth="1"/>
    <col min="8195" max="8195" width="14.6640625" style="729" customWidth="1"/>
    <col min="8196" max="8196" width="14" style="729" customWidth="1"/>
    <col min="8197" max="8197" width="2" style="729" customWidth="1"/>
    <col min="8198" max="8198" width="13" style="729" customWidth="1"/>
    <col min="8199" max="8448" width="9.109375" style="729"/>
    <col min="8449" max="8449" width="6.109375" style="729" customWidth="1"/>
    <col min="8450" max="8450" width="40.109375" style="729" customWidth="1"/>
    <col min="8451" max="8451" width="14.6640625" style="729" customWidth="1"/>
    <col min="8452" max="8452" width="14" style="729" customWidth="1"/>
    <col min="8453" max="8453" width="2" style="729" customWidth="1"/>
    <col min="8454" max="8454" width="13" style="729" customWidth="1"/>
    <col min="8455" max="8704" width="9.109375" style="729"/>
    <col min="8705" max="8705" width="6.109375" style="729" customWidth="1"/>
    <col min="8706" max="8706" width="40.109375" style="729" customWidth="1"/>
    <col min="8707" max="8707" width="14.6640625" style="729" customWidth="1"/>
    <col min="8708" max="8708" width="14" style="729" customWidth="1"/>
    <col min="8709" max="8709" width="2" style="729" customWidth="1"/>
    <col min="8710" max="8710" width="13" style="729" customWidth="1"/>
    <col min="8711" max="8960" width="9.109375" style="729"/>
    <col min="8961" max="8961" width="6.109375" style="729" customWidth="1"/>
    <col min="8962" max="8962" width="40.109375" style="729" customWidth="1"/>
    <col min="8963" max="8963" width="14.6640625" style="729" customWidth="1"/>
    <col min="8964" max="8964" width="14" style="729" customWidth="1"/>
    <col min="8965" max="8965" width="2" style="729" customWidth="1"/>
    <col min="8966" max="8966" width="13" style="729" customWidth="1"/>
    <col min="8967" max="9216" width="9.109375" style="729"/>
    <col min="9217" max="9217" width="6.109375" style="729" customWidth="1"/>
    <col min="9218" max="9218" width="40.109375" style="729" customWidth="1"/>
    <col min="9219" max="9219" width="14.6640625" style="729" customWidth="1"/>
    <col min="9220" max="9220" width="14" style="729" customWidth="1"/>
    <col min="9221" max="9221" width="2" style="729" customWidth="1"/>
    <col min="9222" max="9222" width="13" style="729" customWidth="1"/>
    <col min="9223" max="9472" width="9.109375" style="729"/>
    <col min="9473" max="9473" width="6.109375" style="729" customWidth="1"/>
    <col min="9474" max="9474" width="40.109375" style="729" customWidth="1"/>
    <col min="9475" max="9475" width="14.6640625" style="729" customWidth="1"/>
    <col min="9476" max="9476" width="14" style="729" customWidth="1"/>
    <col min="9477" max="9477" width="2" style="729" customWidth="1"/>
    <col min="9478" max="9478" width="13" style="729" customWidth="1"/>
    <col min="9479" max="9728" width="9.109375" style="729"/>
    <col min="9729" max="9729" width="6.109375" style="729" customWidth="1"/>
    <col min="9730" max="9730" width="40.109375" style="729" customWidth="1"/>
    <col min="9731" max="9731" width="14.6640625" style="729" customWidth="1"/>
    <col min="9732" max="9732" width="14" style="729" customWidth="1"/>
    <col min="9733" max="9733" width="2" style="729" customWidth="1"/>
    <col min="9734" max="9734" width="13" style="729" customWidth="1"/>
    <col min="9735" max="9984" width="9.109375" style="729"/>
    <col min="9985" max="9985" width="6.109375" style="729" customWidth="1"/>
    <col min="9986" max="9986" width="40.109375" style="729" customWidth="1"/>
    <col min="9987" max="9987" width="14.6640625" style="729" customWidth="1"/>
    <col min="9988" max="9988" width="14" style="729" customWidth="1"/>
    <col min="9989" max="9989" width="2" style="729" customWidth="1"/>
    <col min="9990" max="9990" width="13" style="729" customWidth="1"/>
    <col min="9991" max="10240" width="9.109375" style="729"/>
    <col min="10241" max="10241" width="6.109375" style="729" customWidth="1"/>
    <col min="10242" max="10242" width="40.109375" style="729" customWidth="1"/>
    <col min="10243" max="10243" width="14.6640625" style="729" customWidth="1"/>
    <col min="10244" max="10244" width="14" style="729" customWidth="1"/>
    <col min="10245" max="10245" width="2" style="729" customWidth="1"/>
    <col min="10246" max="10246" width="13" style="729" customWidth="1"/>
    <col min="10247" max="10496" width="9.109375" style="729"/>
    <col min="10497" max="10497" width="6.109375" style="729" customWidth="1"/>
    <col min="10498" max="10498" width="40.109375" style="729" customWidth="1"/>
    <col min="10499" max="10499" width="14.6640625" style="729" customWidth="1"/>
    <col min="10500" max="10500" width="14" style="729" customWidth="1"/>
    <col min="10501" max="10501" width="2" style="729" customWidth="1"/>
    <col min="10502" max="10502" width="13" style="729" customWidth="1"/>
    <col min="10503" max="10752" width="9.109375" style="729"/>
    <col min="10753" max="10753" width="6.109375" style="729" customWidth="1"/>
    <col min="10754" max="10754" width="40.109375" style="729" customWidth="1"/>
    <col min="10755" max="10755" width="14.6640625" style="729" customWidth="1"/>
    <col min="10756" max="10756" width="14" style="729" customWidth="1"/>
    <col min="10757" max="10757" width="2" style="729" customWidth="1"/>
    <col min="10758" max="10758" width="13" style="729" customWidth="1"/>
    <col min="10759" max="11008" width="9.109375" style="729"/>
    <col min="11009" max="11009" width="6.109375" style="729" customWidth="1"/>
    <col min="11010" max="11010" width="40.109375" style="729" customWidth="1"/>
    <col min="11011" max="11011" width="14.6640625" style="729" customWidth="1"/>
    <col min="11012" max="11012" width="14" style="729" customWidth="1"/>
    <col min="11013" max="11013" width="2" style="729" customWidth="1"/>
    <col min="11014" max="11014" width="13" style="729" customWidth="1"/>
    <col min="11015" max="11264" width="9.109375" style="729"/>
    <col min="11265" max="11265" width="6.109375" style="729" customWidth="1"/>
    <col min="11266" max="11266" width="40.109375" style="729" customWidth="1"/>
    <col min="11267" max="11267" width="14.6640625" style="729" customWidth="1"/>
    <col min="11268" max="11268" width="14" style="729" customWidth="1"/>
    <col min="11269" max="11269" width="2" style="729" customWidth="1"/>
    <col min="11270" max="11270" width="13" style="729" customWidth="1"/>
    <col min="11271" max="11520" width="9.109375" style="729"/>
    <col min="11521" max="11521" width="6.109375" style="729" customWidth="1"/>
    <col min="11522" max="11522" width="40.109375" style="729" customWidth="1"/>
    <col min="11523" max="11523" width="14.6640625" style="729" customWidth="1"/>
    <col min="11524" max="11524" width="14" style="729" customWidth="1"/>
    <col min="11525" max="11525" width="2" style="729" customWidth="1"/>
    <col min="11526" max="11526" width="13" style="729" customWidth="1"/>
    <col min="11527" max="11776" width="9.109375" style="729"/>
    <col min="11777" max="11777" width="6.109375" style="729" customWidth="1"/>
    <col min="11778" max="11778" width="40.109375" style="729" customWidth="1"/>
    <col min="11779" max="11779" width="14.6640625" style="729" customWidth="1"/>
    <col min="11780" max="11780" width="14" style="729" customWidth="1"/>
    <col min="11781" max="11781" width="2" style="729" customWidth="1"/>
    <col min="11782" max="11782" width="13" style="729" customWidth="1"/>
    <col min="11783" max="12032" width="9.109375" style="729"/>
    <col min="12033" max="12033" width="6.109375" style="729" customWidth="1"/>
    <col min="12034" max="12034" width="40.109375" style="729" customWidth="1"/>
    <col min="12035" max="12035" width="14.6640625" style="729" customWidth="1"/>
    <col min="12036" max="12036" width="14" style="729" customWidth="1"/>
    <col min="12037" max="12037" width="2" style="729" customWidth="1"/>
    <col min="12038" max="12038" width="13" style="729" customWidth="1"/>
    <col min="12039" max="12288" width="9.109375" style="729"/>
    <col min="12289" max="12289" width="6.109375" style="729" customWidth="1"/>
    <col min="12290" max="12290" width="40.109375" style="729" customWidth="1"/>
    <col min="12291" max="12291" width="14.6640625" style="729" customWidth="1"/>
    <col min="12292" max="12292" width="14" style="729" customWidth="1"/>
    <col min="12293" max="12293" width="2" style="729" customWidth="1"/>
    <col min="12294" max="12294" width="13" style="729" customWidth="1"/>
    <col min="12295" max="12544" width="9.109375" style="729"/>
    <col min="12545" max="12545" width="6.109375" style="729" customWidth="1"/>
    <col min="12546" max="12546" width="40.109375" style="729" customWidth="1"/>
    <col min="12547" max="12547" width="14.6640625" style="729" customWidth="1"/>
    <col min="12548" max="12548" width="14" style="729" customWidth="1"/>
    <col min="12549" max="12549" width="2" style="729" customWidth="1"/>
    <col min="12550" max="12550" width="13" style="729" customWidth="1"/>
    <col min="12551" max="12800" width="9.109375" style="729"/>
    <col min="12801" max="12801" width="6.109375" style="729" customWidth="1"/>
    <col min="12802" max="12802" width="40.109375" style="729" customWidth="1"/>
    <col min="12803" max="12803" width="14.6640625" style="729" customWidth="1"/>
    <col min="12804" max="12804" width="14" style="729" customWidth="1"/>
    <col min="12805" max="12805" width="2" style="729" customWidth="1"/>
    <col min="12806" max="12806" width="13" style="729" customWidth="1"/>
    <col min="12807" max="13056" width="9.109375" style="729"/>
    <col min="13057" max="13057" width="6.109375" style="729" customWidth="1"/>
    <col min="13058" max="13058" width="40.109375" style="729" customWidth="1"/>
    <col min="13059" max="13059" width="14.6640625" style="729" customWidth="1"/>
    <col min="13060" max="13060" width="14" style="729" customWidth="1"/>
    <col min="13061" max="13061" width="2" style="729" customWidth="1"/>
    <col min="13062" max="13062" width="13" style="729" customWidth="1"/>
    <col min="13063" max="13312" width="9.109375" style="729"/>
    <col min="13313" max="13313" width="6.109375" style="729" customWidth="1"/>
    <col min="13314" max="13314" width="40.109375" style="729" customWidth="1"/>
    <col min="13315" max="13315" width="14.6640625" style="729" customWidth="1"/>
    <col min="13316" max="13316" width="14" style="729" customWidth="1"/>
    <col min="13317" max="13317" width="2" style="729" customWidth="1"/>
    <col min="13318" max="13318" width="13" style="729" customWidth="1"/>
    <col min="13319" max="13568" width="9.109375" style="729"/>
    <col min="13569" max="13569" width="6.109375" style="729" customWidth="1"/>
    <col min="13570" max="13570" width="40.109375" style="729" customWidth="1"/>
    <col min="13571" max="13571" width="14.6640625" style="729" customWidth="1"/>
    <col min="13572" max="13572" width="14" style="729" customWidth="1"/>
    <col min="13573" max="13573" width="2" style="729" customWidth="1"/>
    <col min="13574" max="13574" width="13" style="729" customWidth="1"/>
    <col min="13575" max="13824" width="9.109375" style="729"/>
    <col min="13825" max="13825" width="6.109375" style="729" customWidth="1"/>
    <col min="13826" max="13826" width="40.109375" style="729" customWidth="1"/>
    <col min="13827" max="13827" width="14.6640625" style="729" customWidth="1"/>
    <col min="13828" max="13828" width="14" style="729" customWidth="1"/>
    <col min="13829" max="13829" width="2" style="729" customWidth="1"/>
    <col min="13830" max="13830" width="13" style="729" customWidth="1"/>
    <col min="13831" max="14080" width="9.109375" style="729"/>
    <col min="14081" max="14081" width="6.109375" style="729" customWidth="1"/>
    <col min="14082" max="14082" width="40.109375" style="729" customWidth="1"/>
    <col min="14083" max="14083" width="14.6640625" style="729" customWidth="1"/>
    <col min="14084" max="14084" width="14" style="729" customWidth="1"/>
    <col min="14085" max="14085" width="2" style="729" customWidth="1"/>
    <col min="14086" max="14086" width="13" style="729" customWidth="1"/>
    <col min="14087" max="14336" width="9.109375" style="729"/>
    <col min="14337" max="14337" width="6.109375" style="729" customWidth="1"/>
    <col min="14338" max="14338" width="40.109375" style="729" customWidth="1"/>
    <col min="14339" max="14339" width="14.6640625" style="729" customWidth="1"/>
    <col min="14340" max="14340" width="14" style="729" customWidth="1"/>
    <col min="14341" max="14341" width="2" style="729" customWidth="1"/>
    <col min="14342" max="14342" width="13" style="729" customWidth="1"/>
    <col min="14343" max="14592" width="9.109375" style="729"/>
    <col min="14593" max="14593" width="6.109375" style="729" customWidth="1"/>
    <col min="14594" max="14594" width="40.109375" style="729" customWidth="1"/>
    <col min="14595" max="14595" width="14.6640625" style="729" customWidth="1"/>
    <col min="14596" max="14596" width="14" style="729" customWidth="1"/>
    <col min="14597" max="14597" width="2" style="729" customWidth="1"/>
    <col min="14598" max="14598" width="13" style="729" customWidth="1"/>
    <col min="14599" max="14848" width="9.109375" style="729"/>
    <col min="14849" max="14849" width="6.109375" style="729" customWidth="1"/>
    <col min="14850" max="14850" width="40.109375" style="729" customWidth="1"/>
    <col min="14851" max="14851" width="14.6640625" style="729" customWidth="1"/>
    <col min="14852" max="14852" width="14" style="729" customWidth="1"/>
    <col min="14853" max="14853" width="2" style="729" customWidth="1"/>
    <col min="14854" max="14854" width="13" style="729" customWidth="1"/>
    <col min="14855" max="15104" width="9.109375" style="729"/>
    <col min="15105" max="15105" width="6.109375" style="729" customWidth="1"/>
    <col min="15106" max="15106" width="40.109375" style="729" customWidth="1"/>
    <col min="15107" max="15107" width="14.6640625" style="729" customWidth="1"/>
    <col min="15108" max="15108" width="14" style="729" customWidth="1"/>
    <col min="15109" max="15109" width="2" style="729" customWidth="1"/>
    <col min="15110" max="15110" width="13" style="729" customWidth="1"/>
    <col min="15111" max="15360" width="9.109375" style="729"/>
    <col min="15361" max="15361" width="6.109375" style="729" customWidth="1"/>
    <col min="15362" max="15362" width="40.109375" style="729" customWidth="1"/>
    <col min="15363" max="15363" width="14.6640625" style="729" customWidth="1"/>
    <col min="15364" max="15364" width="14" style="729" customWidth="1"/>
    <col min="15365" max="15365" width="2" style="729" customWidth="1"/>
    <col min="15366" max="15366" width="13" style="729" customWidth="1"/>
    <col min="15367" max="15616" width="9.109375" style="729"/>
    <col min="15617" max="15617" width="6.109375" style="729" customWidth="1"/>
    <col min="15618" max="15618" width="40.109375" style="729" customWidth="1"/>
    <col min="15619" max="15619" width="14.6640625" style="729" customWidth="1"/>
    <col min="15620" max="15620" width="14" style="729" customWidth="1"/>
    <col min="15621" max="15621" width="2" style="729" customWidth="1"/>
    <col min="15622" max="15622" width="13" style="729" customWidth="1"/>
    <col min="15623" max="15872" width="9.109375" style="729"/>
    <col min="15873" max="15873" width="6.109375" style="729" customWidth="1"/>
    <col min="15874" max="15874" width="40.109375" style="729" customWidth="1"/>
    <col min="15875" max="15875" width="14.6640625" style="729" customWidth="1"/>
    <col min="15876" max="15876" width="14" style="729" customWidth="1"/>
    <col min="15877" max="15877" width="2" style="729" customWidth="1"/>
    <col min="15878" max="15878" width="13" style="729" customWidth="1"/>
    <col min="15879" max="16128" width="9.109375" style="729"/>
    <col min="16129" max="16129" width="6.109375" style="729" customWidth="1"/>
    <col min="16130" max="16130" width="40.109375" style="729" customWidth="1"/>
    <col min="16131" max="16131" width="14.6640625" style="729" customWidth="1"/>
    <col min="16132" max="16132" width="14" style="729" customWidth="1"/>
    <col min="16133" max="16133" width="2" style="729" customWidth="1"/>
    <col min="16134" max="16134" width="13" style="729" customWidth="1"/>
    <col min="16135" max="16384" width="9.109375" style="729"/>
  </cols>
  <sheetData>
    <row r="1" spans="1:6">
      <c r="E1" s="730"/>
    </row>
    <row r="2" spans="1:6">
      <c r="A2" s="866" t="s">
        <v>3925</v>
      </c>
      <c r="B2" s="866"/>
      <c r="C2" s="866"/>
      <c r="D2" s="866"/>
      <c r="E2" s="866"/>
      <c r="F2" s="866"/>
    </row>
    <row r="3" spans="1:6" ht="13.8" thickBot="1">
      <c r="E3" s="730"/>
    </row>
    <row r="4" spans="1:6" ht="40.200000000000003" thickBot="1">
      <c r="A4" s="731" t="s">
        <v>3926</v>
      </c>
      <c r="B4" s="732" t="s">
        <v>1289</v>
      </c>
      <c r="C4" s="733" t="s">
        <v>3927</v>
      </c>
      <c r="D4" s="733" t="s">
        <v>3928</v>
      </c>
      <c r="E4" s="734" t="s">
        <v>3929</v>
      </c>
      <c r="F4" s="735" t="s">
        <v>3930</v>
      </c>
    </row>
    <row r="5" spans="1:6" ht="26.25" customHeight="1">
      <c r="A5" s="736">
        <v>98005</v>
      </c>
      <c r="B5" s="737" t="s">
        <v>3931</v>
      </c>
      <c r="C5" s="738">
        <v>326463</v>
      </c>
      <c r="D5" s="739">
        <v>0</v>
      </c>
      <c r="E5" s="740"/>
      <c r="F5" s="741">
        <v>326463</v>
      </c>
    </row>
    <row r="6" spans="1:6" ht="26.25" customHeight="1">
      <c r="A6" s="742">
        <v>98071</v>
      </c>
      <c r="B6" s="743" t="s">
        <v>3932</v>
      </c>
      <c r="C6" s="744">
        <v>-25729.1</v>
      </c>
      <c r="D6" s="745">
        <v>0</v>
      </c>
      <c r="E6" s="746" t="s">
        <v>3933</v>
      </c>
      <c r="F6" s="747">
        <v>-25729.10257291</v>
      </c>
    </row>
    <row r="7" spans="1:6" ht="26.25" customHeight="1">
      <c r="A7" s="742">
        <v>98074</v>
      </c>
      <c r="B7" s="743" t="s">
        <v>3934</v>
      </c>
      <c r="C7" s="744">
        <v>5830.68</v>
      </c>
      <c r="D7" s="745">
        <v>0</v>
      </c>
      <c r="E7" s="746" t="s">
        <v>3935</v>
      </c>
      <c r="F7" s="747">
        <v>5830.68</v>
      </c>
    </row>
    <row r="8" spans="1:6" ht="26.25" customHeight="1">
      <c r="A8" s="748">
        <v>98074</v>
      </c>
      <c r="B8" s="749" t="s">
        <v>3936</v>
      </c>
      <c r="C8" s="744">
        <v>1.19</v>
      </c>
      <c r="D8" s="745">
        <v>0</v>
      </c>
      <c r="E8" s="746" t="s">
        <v>3935</v>
      </c>
      <c r="F8" s="747">
        <v>1.19</v>
      </c>
    </row>
    <row r="9" spans="1:6" ht="26.25" customHeight="1">
      <c r="A9" s="748">
        <v>98187</v>
      </c>
      <c r="B9" s="749" t="s">
        <v>3937</v>
      </c>
      <c r="C9" s="744">
        <v>1494</v>
      </c>
      <c r="D9" s="745">
        <v>0</v>
      </c>
      <c r="E9" s="746"/>
      <c r="F9" s="747">
        <v>1494</v>
      </c>
    </row>
    <row r="10" spans="1:6" ht="14.25" customHeight="1">
      <c r="A10" s="748">
        <v>98297</v>
      </c>
      <c r="B10" s="743" t="s">
        <v>3904</v>
      </c>
      <c r="C10" s="750">
        <v>31599.45</v>
      </c>
      <c r="D10" s="751">
        <v>0</v>
      </c>
      <c r="E10" s="752"/>
      <c r="F10" s="753">
        <v>31599.45</v>
      </c>
    </row>
    <row r="11" spans="1:6" ht="33" customHeight="1" thickBot="1">
      <c r="A11" s="754">
        <v>98861</v>
      </c>
      <c r="B11" s="755" t="s">
        <v>3938</v>
      </c>
      <c r="C11" s="756">
        <v>15260</v>
      </c>
      <c r="D11" s="757">
        <v>0</v>
      </c>
      <c r="E11" s="758"/>
      <c r="F11" s="759">
        <v>15260</v>
      </c>
    </row>
    <row r="12" spans="1:6" ht="13.8" thickBot="1">
      <c r="A12" s="867" t="s">
        <v>1234</v>
      </c>
      <c r="B12" s="868"/>
      <c r="C12" s="775">
        <f>SUM(C5:C11)</f>
        <v>354919.22000000003</v>
      </c>
      <c r="D12" s="776">
        <f>SUM(D3:D11)</f>
        <v>0</v>
      </c>
      <c r="E12" s="777"/>
      <c r="F12" s="778">
        <f>SUM(F5:F11)</f>
        <v>354919.21742708998</v>
      </c>
    </row>
    <row r="15" spans="1:6">
      <c r="A15" s="866" t="s">
        <v>3939</v>
      </c>
      <c r="B15" s="866"/>
      <c r="C15" s="866"/>
      <c r="D15" s="866"/>
      <c r="E15" s="866"/>
      <c r="F15" s="866"/>
    </row>
    <row r="16" spans="1:6" ht="13.8" thickBot="1"/>
    <row r="17" spans="1:7" ht="40.200000000000003" thickBot="1">
      <c r="A17" s="760" t="s">
        <v>3926</v>
      </c>
      <c r="B17" s="761" t="s">
        <v>1289</v>
      </c>
      <c r="C17" s="762" t="s">
        <v>3927</v>
      </c>
      <c r="D17" s="762" t="s">
        <v>3928</v>
      </c>
      <c r="E17" s="763" t="s">
        <v>3929</v>
      </c>
      <c r="F17" s="764" t="s">
        <v>3940</v>
      </c>
    </row>
    <row r="18" spans="1:7" ht="15.6">
      <c r="A18" s="748">
        <v>4001</v>
      </c>
      <c r="B18" s="749" t="s">
        <v>3837</v>
      </c>
      <c r="C18" s="744">
        <v>19361</v>
      </c>
      <c r="D18" s="744">
        <v>0</v>
      </c>
      <c r="E18" s="746"/>
      <c r="F18" s="765">
        <v>19361</v>
      </c>
      <c r="G18" s="766"/>
    </row>
    <row r="19" spans="1:7" ht="26.4">
      <c r="A19" s="742">
        <v>13233</v>
      </c>
      <c r="B19" s="743" t="s">
        <v>1701</v>
      </c>
      <c r="C19" s="750">
        <v>20715991.32</v>
      </c>
      <c r="D19" s="750">
        <v>20715991.32</v>
      </c>
      <c r="E19" s="752" t="s">
        <v>3941</v>
      </c>
      <c r="F19" s="753">
        <v>0</v>
      </c>
    </row>
    <row r="20" spans="1:7" ht="26.4">
      <c r="A20" s="742">
        <v>14012</v>
      </c>
      <c r="B20" s="743" t="s">
        <v>3942</v>
      </c>
      <c r="C20" s="750">
        <v>-80290.05</v>
      </c>
      <c r="D20" s="751">
        <v>0</v>
      </c>
      <c r="E20" s="752" t="s">
        <v>3943</v>
      </c>
      <c r="F20" s="753">
        <v>0</v>
      </c>
    </row>
    <row r="21" spans="1:7" ht="26.4">
      <c r="A21" s="742">
        <v>14013</v>
      </c>
      <c r="B21" s="743" t="s">
        <v>3944</v>
      </c>
      <c r="C21" s="767">
        <v>3171517.3</v>
      </c>
      <c r="D21" s="767">
        <v>3171517.3</v>
      </c>
      <c r="E21" s="752" t="s">
        <v>3943</v>
      </c>
      <c r="F21" s="753">
        <v>0</v>
      </c>
    </row>
    <row r="22" spans="1:7" ht="26.4">
      <c r="A22" s="742">
        <v>15319</v>
      </c>
      <c r="B22" s="743" t="s">
        <v>3945</v>
      </c>
      <c r="C22" s="750">
        <v>-844855.8</v>
      </c>
      <c r="D22" s="751">
        <v>0</v>
      </c>
      <c r="E22" s="752" t="s">
        <v>3943</v>
      </c>
      <c r="F22" s="753">
        <v>0</v>
      </c>
    </row>
    <row r="23" spans="1:7" ht="43.95" customHeight="1">
      <c r="A23" s="742">
        <v>15373</v>
      </c>
      <c r="B23" s="743" t="s">
        <v>3946</v>
      </c>
      <c r="C23" s="750">
        <v>6330.8</v>
      </c>
      <c r="D23" s="750">
        <v>0</v>
      </c>
      <c r="E23" s="752" t="s">
        <v>3943</v>
      </c>
      <c r="F23" s="753">
        <v>0</v>
      </c>
    </row>
    <row r="24" spans="1:7" ht="41.4" customHeight="1">
      <c r="A24" s="742">
        <v>15374</v>
      </c>
      <c r="B24" s="743" t="s">
        <v>3946</v>
      </c>
      <c r="C24" s="750">
        <v>107623.6</v>
      </c>
      <c r="D24" s="750">
        <v>0</v>
      </c>
      <c r="E24" s="752" t="s">
        <v>3943</v>
      </c>
      <c r="F24" s="753">
        <v>0</v>
      </c>
    </row>
    <row r="25" spans="1:7" ht="36.6" customHeight="1">
      <c r="A25" s="742">
        <v>17007</v>
      </c>
      <c r="B25" s="743" t="s">
        <v>1738</v>
      </c>
      <c r="C25" s="767">
        <v>-74424.59</v>
      </c>
      <c r="D25" s="767">
        <v>0</v>
      </c>
      <c r="E25" s="752" t="s">
        <v>3943</v>
      </c>
      <c r="F25" s="753">
        <v>0</v>
      </c>
    </row>
    <row r="26" spans="1:7" ht="36.6" customHeight="1">
      <c r="A26" s="742">
        <v>33006</v>
      </c>
      <c r="B26" s="743" t="s">
        <v>1527</v>
      </c>
      <c r="C26" s="768">
        <v>-1929689</v>
      </c>
      <c r="D26" s="767">
        <v>0</v>
      </c>
      <c r="E26" s="752" t="s">
        <v>3941</v>
      </c>
      <c r="F26" s="753">
        <v>0</v>
      </c>
    </row>
    <row r="27" spans="1:7" ht="26.4">
      <c r="A27" s="742">
        <v>33006</v>
      </c>
      <c r="B27" s="743" t="s">
        <v>1527</v>
      </c>
      <c r="C27" s="751">
        <v>-74862417.180000007</v>
      </c>
      <c r="D27" s="751">
        <v>0</v>
      </c>
      <c r="E27" s="752" t="s">
        <v>3941</v>
      </c>
      <c r="F27" s="753">
        <v>0</v>
      </c>
    </row>
    <row r="28" spans="1:7" ht="15.6">
      <c r="A28" s="742">
        <v>33007</v>
      </c>
      <c r="B28" s="743" t="s">
        <v>1522</v>
      </c>
      <c r="C28" s="750">
        <v>1051936.58</v>
      </c>
      <c r="D28" s="750">
        <v>1051936.58</v>
      </c>
      <c r="E28" s="752" t="s">
        <v>3941</v>
      </c>
      <c r="F28" s="753">
        <v>0</v>
      </c>
    </row>
    <row r="29" spans="1:7" ht="26.4">
      <c r="A29" s="742">
        <v>33012</v>
      </c>
      <c r="B29" s="743" t="s">
        <v>1538</v>
      </c>
      <c r="C29" s="751">
        <v>-11346887.48</v>
      </c>
      <c r="D29" s="751">
        <v>0</v>
      </c>
      <c r="E29" s="752" t="s">
        <v>3941</v>
      </c>
      <c r="F29" s="753">
        <v>0</v>
      </c>
    </row>
    <row r="30" spans="1:7" ht="26.4">
      <c r="A30" s="742">
        <v>33017</v>
      </c>
      <c r="B30" s="743" t="s">
        <v>1714</v>
      </c>
      <c r="C30" s="751">
        <v>4800</v>
      </c>
      <c r="D30" s="751">
        <v>0</v>
      </c>
      <c r="E30" s="752"/>
      <c r="F30" s="753">
        <v>4800</v>
      </c>
    </row>
    <row r="31" spans="1:7" ht="26.4">
      <c r="A31" s="742">
        <v>33025</v>
      </c>
      <c r="B31" s="743" t="s">
        <v>3947</v>
      </c>
      <c r="C31" s="750">
        <v>738.5</v>
      </c>
      <c r="D31" s="751">
        <v>0</v>
      </c>
      <c r="E31" s="752"/>
      <c r="F31" s="753">
        <v>738.58</v>
      </c>
      <c r="G31" s="769"/>
    </row>
    <row r="32" spans="1:7" ht="26.4">
      <c r="A32" s="742">
        <v>33026</v>
      </c>
      <c r="B32" s="743" t="s">
        <v>3948</v>
      </c>
      <c r="C32" s="750">
        <v>6396</v>
      </c>
      <c r="D32" s="751">
        <v>0</v>
      </c>
      <c r="E32" s="752"/>
      <c r="F32" s="753">
        <v>6396</v>
      </c>
    </row>
    <row r="33" spans="1:6" ht="15.6">
      <c r="A33" s="742">
        <v>33155</v>
      </c>
      <c r="B33" s="743" t="s">
        <v>3039</v>
      </c>
      <c r="C33" s="750">
        <v>144795</v>
      </c>
      <c r="D33" s="751">
        <v>0</v>
      </c>
      <c r="E33" s="752"/>
      <c r="F33" s="753">
        <v>144795</v>
      </c>
    </row>
    <row r="34" spans="1:6" ht="26.4">
      <c r="A34" s="742">
        <v>35015</v>
      </c>
      <c r="B34" s="743" t="s">
        <v>3949</v>
      </c>
      <c r="C34" s="750">
        <v>98541</v>
      </c>
      <c r="D34" s="751">
        <v>0</v>
      </c>
      <c r="E34" s="752"/>
      <c r="F34" s="770">
        <v>98541</v>
      </c>
    </row>
    <row r="35" spans="1:6" ht="15.6">
      <c r="A35" s="742" t="s">
        <v>3875</v>
      </c>
      <c r="B35" s="743" t="s">
        <v>3876</v>
      </c>
      <c r="C35" s="750">
        <v>590464.23</v>
      </c>
      <c r="D35" s="751">
        <v>0</v>
      </c>
      <c r="E35" s="752" t="s">
        <v>3943</v>
      </c>
      <c r="F35" s="753">
        <v>0</v>
      </c>
    </row>
    <row r="36" spans="1:6" ht="15.6">
      <c r="A36" s="742" t="s">
        <v>3878</v>
      </c>
      <c r="B36" s="743" t="s">
        <v>3879</v>
      </c>
      <c r="C36" s="750">
        <v>6691927.96</v>
      </c>
      <c r="D36" s="751">
        <v>0</v>
      </c>
      <c r="E36" s="752" t="s">
        <v>3943</v>
      </c>
      <c r="F36" s="753">
        <v>0</v>
      </c>
    </row>
    <row r="37" spans="1:6" ht="15.6">
      <c r="A37" s="742" t="s">
        <v>3880</v>
      </c>
      <c r="B37" s="743" t="s">
        <v>3881</v>
      </c>
      <c r="C37" s="750">
        <v>17743100.399999999</v>
      </c>
      <c r="D37" s="751">
        <v>0</v>
      </c>
      <c r="E37" s="752" t="s">
        <v>3943</v>
      </c>
      <c r="F37" s="753">
        <v>0</v>
      </c>
    </row>
    <row r="38" spans="1:6" ht="15.6">
      <c r="A38" s="742" t="s">
        <v>3882</v>
      </c>
      <c r="B38" s="743" t="s">
        <v>3883</v>
      </c>
      <c r="C38" s="750">
        <v>201088471.19999999</v>
      </c>
      <c r="D38" s="751">
        <v>0</v>
      </c>
      <c r="E38" s="752" t="s">
        <v>3943</v>
      </c>
      <c r="F38" s="753">
        <v>0</v>
      </c>
    </row>
    <row r="39" spans="1:6" ht="26.4">
      <c r="A39" s="742" t="s">
        <v>3884</v>
      </c>
      <c r="B39" s="743" t="s">
        <v>3885</v>
      </c>
      <c r="C39" s="750">
        <v>-49697.4</v>
      </c>
      <c r="D39" s="751">
        <v>0</v>
      </c>
      <c r="E39" s="752" t="s">
        <v>3943</v>
      </c>
      <c r="F39" s="753">
        <v>0</v>
      </c>
    </row>
    <row r="40" spans="1:6" ht="15.6">
      <c r="A40" s="742">
        <v>95206</v>
      </c>
      <c r="B40" s="743" t="s">
        <v>3888</v>
      </c>
      <c r="C40" s="750">
        <v>1366217.77</v>
      </c>
      <c r="D40" s="751">
        <v>0</v>
      </c>
      <c r="E40" s="752" t="s">
        <v>3943</v>
      </c>
      <c r="F40" s="753">
        <v>0</v>
      </c>
    </row>
    <row r="41" spans="1:6" ht="15.6">
      <c r="A41" s="742">
        <v>95816</v>
      </c>
      <c r="B41" s="743" t="s">
        <v>3891</v>
      </c>
      <c r="C41" s="750">
        <v>1186926.8700000001</v>
      </c>
      <c r="D41" s="751"/>
      <c r="E41" s="752" t="s">
        <v>3943</v>
      </c>
      <c r="F41" s="753">
        <v>0</v>
      </c>
    </row>
    <row r="42" spans="1:6" ht="13.8" thickBot="1">
      <c r="A42" s="867" t="s">
        <v>1234</v>
      </c>
      <c r="B42" s="868"/>
      <c r="C42" s="775">
        <f>SUM(C18:C41)</f>
        <v>164806878.02999997</v>
      </c>
      <c r="D42" s="776">
        <f>SUM(D18:D41)</f>
        <v>24939445.200000003</v>
      </c>
      <c r="E42" s="777"/>
      <c r="F42" s="778">
        <f>SUM(F18:F41)</f>
        <v>274631.58</v>
      </c>
    </row>
    <row r="43" spans="1:6" ht="28.95" customHeight="1">
      <c r="A43" s="771"/>
      <c r="B43" s="772"/>
    </row>
    <row r="44" spans="1:6" ht="18.600000000000001" customHeight="1">
      <c r="A44" s="773" t="s">
        <v>3950</v>
      </c>
      <c r="E44" s="730"/>
    </row>
    <row r="45" spans="1:6" ht="58.5" customHeight="1">
      <c r="A45" s="774" t="s">
        <v>3935</v>
      </c>
      <c r="B45" s="869" t="s">
        <v>3951</v>
      </c>
      <c r="C45" s="869"/>
      <c r="D45" s="869"/>
      <c r="E45" s="869"/>
      <c r="F45" s="869"/>
    </row>
    <row r="46" spans="1:6" ht="32.25" customHeight="1">
      <c r="A46" s="774" t="s">
        <v>3933</v>
      </c>
      <c r="B46" s="864" t="s">
        <v>3952</v>
      </c>
      <c r="C46" s="864"/>
      <c r="D46" s="864"/>
      <c r="E46" s="864"/>
      <c r="F46" s="864"/>
    </row>
    <row r="47" spans="1:6" ht="47.25" customHeight="1">
      <c r="A47" s="774" t="s">
        <v>3943</v>
      </c>
      <c r="B47" s="864" t="s">
        <v>3953</v>
      </c>
      <c r="C47" s="864"/>
      <c r="D47" s="864"/>
      <c r="E47" s="864"/>
      <c r="F47" s="864"/>
    </row>
    <row r="48" spans="1:6" ht="23.25" customHeight="1">
      <c r="A48" s="774" t="s">
        <v>3941</v>
      </c>
      <c r="B48" s="864" t="s">
        <v>3954</v>
      </c>
      <c r="C48" s="864"/>
      <c r="D48" s="864"/>
      <c r="E48" s="864"/>
      <c r="F48" s="864"/>
    </row>
    <row r="49" spans="1:6" ht="57.75" customHeight="1">
      <c r="A49" s="774"/>
      <c r="B49" s="865"/>
      <c r="C49" s="865"/>
      <c r="D49" s="865"/>
      <c r="E49" s="865"/>
      <c r="F49" s="865"/>
    </row>
  </sheetData>
  <mergeCells count="9">
    <mergeCell ref="B47:F47"/>
    <mergeCell ref="B48:F48"/>
    <mergeCell ref="B49:F49"/>
    <mergeCell ref="A2:F2"/>
    <mergeCell ref="A12:B12"/>
    <mergeCell ref="A15:F15"/>
    <mergeCell ref="A42:B42"/>
    <mergeCell ref="B45:F45"/>
    <mergeCell ref="B46:F46"/>
  </mergeCells>
  <pageMargins left="0.78740157499999996" right="0.78740157499999996" top="0.984251969" bottom="0.984251969" header="0.4921259845" footer="0.4921259845"/>
  <pageSetup paperSize="9" scale="90" orientation="portrait" r:id="rId1"/>
  <headerFooter alignWithMargins="0">
    <oddHeader>&amp;LPříloha č. 3&amp;CZávěrečný účet Plzeňského kraje za rok 2010</oddHeader>
    <oddFooter>&amp;LKrajský úřad Plzeňského kraje
Odbor ekonomický&amp;C&amp;P&amp;R&amp;D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zoomScaleNormal="100" workbookViewId="0">
      <selection activeCell="J16" sqref="J16"/>
    </sheetView>
  </sheetViews>
  <sheetFormatPr defaultRowHeight="13.2"/>
  <cols>
    <col min="1" max="1" width="5.6640625" customWidth="1"/>
    <col min="2" max="2" width="47.44140625" customWidth="1"/>
    <col min="3" max="3" width="9.5546875" hidden="1" customWidth="1"/>
    <col min="4" max="4" width="11" customWidth="1"/>
    <col min="5" max="5" width="9.5546875" hidden="1" customWidth="1"/>
    <col min="6" max="6" width="11.33203125" customWidth="1"/>
    <col min="7" max="7" width="9.5546875" hidden="1" customWidth="1"/>
    <col min="8" max="8" width="11.109375" customWidth="1"/>
    <col min="9" max="9" width="8.33203125" customWidth="1"/>
    <col min="257" max="257" width="5.6640625" customWidth="1"/>
    <col min="258" max="258" width="47.44140625" customWidth="1"/>
    <col min="259" max="259" width="0" hidden="1" customWidth="1"/>
    <col min="260" max="260" width="11" customWidth="1"/>
    <col min="261" max="261" width="0" hidden="1" customWidth="1"/>
    <col min="262" max="262" width="11.33203125" customWidth="1"/>
    <col min="263" max="263" width="0" hidden="1" customWidth="1"/>
    <col min="264" max="264" width="11.109375" customWidth="1"/>
    <col min="265" max="265" width="8.33203125" customWidth="1"/>
    <col min="513" max="513" width="5.6640625" customWidth="1"/>
    <col min="514" max="514" width="47.44140625" customWidth="1"/>
    <col min="515" max="515" width="0" hidden="1" customWidth="1"/>
    <col min="516" max="516" width="11" customWidth="1"/>
    <col min="517" max="517" width="0" hidden="1" customWidth="1"/>
    <col min="518" max="518" width="11.33203125" customWidth="1"/>
    <col min="519" max="519" width="0" hidden="1" customWidth="1"/>
    <col min="520" max="520" width="11.109375" customWidth="1"/>
    <col min="521" max="521" width="8.33203125" customWidth="1"/>
    <col min="769" max="769" width="5.6640625" customWidth="1"/>
    <col min="770" max="770" width="47.44140625" customWidth="1"/>
    <col min="771" max="771" width="0" hidden="1" customWidth="1"/>
    <col min="772" max="772" width="11" customWidth="1"/>
    <col min="773" max="773" width="0" hidden="1" customWidth="1"/>
    <col min="774" max="774" width="11.33203125" customWidth="1"/>
    <col min="775" max="775" width="0" hidden="1" customWidth="1"/>
    <col min="776" max="776" width="11.109375" customWidth="1"/>
    <col min="777" max="777" width="8.33203125" customWidth="1"/>
    <col min="1025" max="1025" width="5.6640625" customWidth="1"/>
    <col min="1026" max="1026" width="47.44140625" customWidth="1"/>
    <col min="1027" max="1027" width="0" hidden="1" customWidth="1"/>
    <col min="1028" max="1028" width="11" customWidth="1"/>
    <col min="1029" max="1029" width="0" hidden="1" customWidth="1"/>
    <col min="1030" max="1030" width="11.33203125" customWidth="1"/>
    <col min="1031" max="1031" width="0" hidden="1" customWidth="1"/>
    <col min="1032" max="1032" width="11.109375" customWidth="1"/>
    <col min="1033" max="1033" width="8.33203125" customWidth="1"/>
    <col min="1281" max="1281" width="5.6640625" customWidth="1"/>
    <col min="1282" max="1282" width="47.44140625" customWidth="1"/>
    <col min="1283" max="1283" width="0" hidden="1" customWidth="1"/>
    <col min="1284" max="1284" width="11" customWidth="1"/>
    <col min="1285" max="1285" width="0" hidden="1" customWidth="1"/>
    <col min="1286" max="1286" width="11.33203125" customWidth="1"/>
    <col min="1287" max="1287" width="0" hidden="1" customWidth="1"/>
    <col min="1288" max="1288" width="11.109375" customWidth="1"/>
    <col min="1289" max="1289" width="8.33203125" customWidth="1"/>
    <col min="1537" max="1537" width="5.6640625" customWidth="1"/>
    <col min="1538" max="1538" width="47.44140625" customWidth="1"/>
    <col min="1539" max="1539" width="0" hidden="1" customWidth="1"/>
    <col min="1540" max="1540" width="11" customWidth="1"/>
    <col min="1541" max="1541" width="0" hidden="1" customWidth="1"/>
    <col min="1542" max="1542" width="11.33203125" customWidth="1"/>
    <col min="1543" max="1543" width="0" hidden="1" customWidth="1"/>
    <col min="1544" max="1544" width="11.109375" customWidth="1"/>
    <col min="1545" max="1545" width="8.33203125" customWidth="1"/>
    <col min="1793" max="1793" width="5.6640625" customWidth="1"/>
    <col min="1794" max="1794" width="47.44140625" customWidth="1"/>
    <col min="1795" max="1795" width="0" hidden="1" customWidth="1"/>
    <col min="1796" max="1796" width="11" customWidth="1"/>
    <col min="1797" max="1797" width="0" hidden="1" customWidth="1"/>
    <col min="1798" max="1798" width="11.33203125" customWidth="1"/>
    <col min="1799" max="1799" width="0" hidden="1" customWidth="1"/>
    <col min="1800" max="1800" width="11.109375" customWidth="1"/>
    <col min="1801" max="1801" width="8.33203125" customWidth="1"/>
    <col min="2049" max="2049" width="5.6640625" customWidth="1"/>
    <col min="2050" max="2050" width="47.44140625" customWidth="1"/>
    <col min="2051" max="2051" width="0" hidden="1" customWidth="1"/>
    <col min="2052" max="2052" width="11" customWidth="1"/>
    <col min="2053" max="2053" width="0" hidden="1" customWidth="1"/>
    <col min="2054" max="2054" width="11.33203125" customWidth="1"/>
    <col min="2055" max="2055" width="0" hidden="1" customWidth="1"/>
    <col min="2056" max="2056" width="11.109375" customWidth="1"/>
    <col min="2057" max="2057" width="8.33203125" customWidth="1"/>
    <col min="2305" max="2305" width="5.6640625" customWidth="1"/>
    <col min="2306" max="2306" width="47.44140625" customWidth="1"/>
    <col min="2307" max="2307" width="0" hidden="1" customWidth="1"/>
    <col min="2308" max="2308" width="11" customWidth="1"/>
    <col min="2309" max="2309" width="0" hidden="1" customWidth="1"/>
    <col min="2310" max="2310" width="11.33203125" customWidth="1"/>
    <col min="2311" max="2311" width="0" hidden="1" customWidth="1"/>
    <col min="2312" max="2312" width="11.109375" customWidth="1"/>
    <col min="2313" max="2313" width="8.33203125" customWidth="1"/>
    <col min="2561" max="2561" width="5.6640625" customWidth="1"/>
    <col min="2562" max="2562" width="47.44140625" customWidth="1"/>
    <col min="2563" max="2563" width="0" hidden="1" customWidth="1"/>
    <col min="2564" max="2564" width="11" customWidth="1"/>
    <col min="2565" max="2565" width="0" hidden="1" customWidth="1"/>
    <col min="2566" max="2566" width="11.33203125" customWidth="1"/>
    <col min="2567" max="2567" width="0" hidden="1" customWidth="1"/>
    <col min="2568" max="2568" width="11.109375" customWidth="1"/>
    <col min="2569" max="2569" width="8.33203125" customWidth="1"/>
    <col min="2817" max="2817" width="5.6640625" customWidth="1"/>
    <col min="2818" max="2818" width="47.44140625" customWidth="1"/>
    <col min="2819" max="2819" width="0" hidden="1" customWidth="1"/>
    <col min="2820" max="2820" width="11" customWidth="1"/>
    <col min="2821" max="2821" width="0" hidden="1" customWidth="1"/>
    <col min="2822" max="2822" width="11.33203125" customWidth="1"/>
    <col min="2823" max="2823" width="0" hidden="1" customWidth="1"/>
    <col min="2824" max="2824" width="11.109375" customWidth="1"/>
    <col min="2825" max="2825" width="8.33203125" customWidth="1"/>
    <col min="3073" max="3073" width="5.6640625" customWidth="1"/>
    <col min="3074" max="3074" width="47.44140625" customWidth="1"/>
    <col min="3075" max="3075" width="0" hidden="1" customWidth="1"/>
    <col min="3076" max="3076" width="11" customWidth="1"/>
    <col min="3077" max="3077" width="0" hidden="1" customWidth="1"/>
    <col min="3078" max="3078" width="11.33203125" customWidth="1"/>
    <col min="3079" max="3079" width="0" hidden="1" customWidth="1"/>
    <col min="3080" max="3080" width="11.109375" customWidth="1"/>
    <col min="3081" max="3081" width="8.33203125" customWidth="1"/>
    <col min="3329" max="3329" width="5.6640625" customWidth="1"/>
    <col min="3330" max="3330" width="47.44140625" customWidth="1"/>
    <col min="3331" max="3331" width="0" hidden="1" customWidth="1"/>
    <col min="3332" max="3332" width="11" customWidth="1"/>
    <col min="3333" max="3333" width="0" hidden="1" customWidth="1"/>
    <col min="3334" max="3334" width="11.33203125" customWidth="1"/>
    <col min="3335" max="3335" width="0" hidden="1" customWidth="1"/>
    <col min="3336" max="3336" width="11.109375" customWidth="1"/>
    <col min="3337" max="3337" width="8.33203125" customWidth="1"/>
    <col min="3585" max="3585" width="5.6640625" customWidth="1"/>
    <col min="3586" max="3586" width="47.44140625" customWidth="1"/>
    <col min="3587" max="3587" width="0" hidden="1" customWidth="1"/>
    <col min="3588" max="3588" width="11" customWidth="1"/>
    <col min="3589" max="3589" width="0" hidden="1" customWidth="1"/>
    <col min="3590" max="3590" width="11.33203125" customWidth="1"/>
    <col min="3591" max="3591" width="0" hidden="1" customWidth="1"/>
    <col min="3592" max="3592" width="11.109375" customWidth="1"/>
    <col min="3593" max="3593" width="8.33203125" customWidth="1"/>
    <col min="3841" max="3841" width="5.6640625" customWidth="1"/>
    <col min="3842" max="3842" width="47.44140625" customWidth="1"/>
    <col min="3843" max="3843" width="0" hidden="1" customWidth="1"/>
    <col min="3844" max="3844" width="11" customWidth="1"/>
    <col min="3845" max="3845" width="0" hidden="1" customWidth="1"/>
    <col min="3846" max="3846" width="11.33203125" customWidth="1"/>
    <col min="3847" max="3847" width="0" hidden="1" customWidth="1"/>
    <col min="3848" max="3848" width="11.109375" customWidth="1"/>
    <col min="3849" max="3849" width="8.33203125" customWidth="1"/>
    <col min="4097" max="4097" width="5.6640625" customWidth="1"/>
    <col min="4098" max="4098" width="47.44140625" customWidth="1"/>
    <col min="4099" max="4099" width="0" hidden="1" customWidth="1"/>
    <col min="4100" max="4100" width="11" customWidth="1"/>
    <col min="4101" max="4101" width="0" hidden="1" customWidth="1"/>
    <col min="4102" max="4102" width="11.33203125" customWidth="1"/>
    <col min="4103" max="4103" width="0" hidden="1" customWidth="1"/>
    <col min="4104" max="4104" width="11.109375" customWidth="1"/>
    <col min="4105" max="4105" width="8.33203125" customWidth="1"/>
    <col min="4353" max="4353" width="5.6640625" customWidth="1"/>
    <col min="4354" max="4354" width="47.44140625" customWidth="1"/>
    <col min="4355" max="4355" width="0" hidden="1" customWidth="1"/>
    <col min="4356" max="4356" width="11" customWidth="1"/>
    <col min="4357" max="4357" width="0" hidden="1" customWidth="1"/>
    <col min="4358" max="4358" width="11.33203125" customWidth="1"/>
    <col min="4359" max="4359" width="0" hidden="1" customWidth="1"/>
    <col min="4360" max="4360" width="11.109375" customWidth="1"/>
    <col min="4361" max="4361" width="8.33203125" customWidth="1"/>
    <col min="4609" max="4609" width="5.6640625" customWidth="1"/>
    <col min="4610" max="4610" width="47.44140625" customWidth="1"/>
    <col min="4611" max="4611" width="0" hidden="1" customWidth="1"/>
    <col min="4612" max="4612" width="11" customWidth="1"/>
    <col min="4613" max="4613" width="0" hidden="1" customWidth="1"/>
    <col min="4614" max="4614" width="11.33203125" customWidth="1"/>
    <col min="4615" max="4615" width="0" hidden="1" customWidth="1"/>
    <col min="4616" max="4616" width="11.109375" customWidth="1"/>
    <col min="4617" max="4617" width="8.33203125" customWidth="1"/>
    <col min="4865" max="4865" width="5.6640625" customWidth="1"/>
    <col min="4866" max="4866" width="47.44140625" customWidth="1"/>
    <col min="4867" max="4867" width="0" hidden="1" customWidth="1"/>
    <col min="4868" max="4868" width="11" customWidth="1"/>
    <col min="4869" max="4869" width="0" hidden="1" customWidth="1"/>
    <col min="4870" max="4870" width="11.33203125" customWidth="1"/>
    <col min="4871" max="4871" width="0" hidden="1" customWidth="1"/>
    <col min="4872" max="4872" width="11.109375" customWidth="1"/>
    <col min="4873" max="4873" width="8.33203125" customWidth="1"/>
    <col min="5121" max="5121" width="5.6640625" customWidth="1"/>
    <col min="5122" max="5122" width="47.44140625" customWidth="1"/>
    <col min="5123" max="5123" width="0" hidden="1" customWidth="1"/>
    <col min="5124" max="5124" width="11" customWidth="1"/>
    <col min="5125" max="5125" width="0" hidden="1" customWidth="1"/>
    <col min="5126" max="5126" width="11.33203125" customWidth="1"/>
    <col min="5127" max="5127" width="0" hidden="1" customWidth="1"/>
    <col min="5128" max="5128" width="11.109375" customWidth="1"/>
    <col min="5129" max="5129" width="8.33203125" customWidth="1"/>
    <col min="5377" max="5377" width="5.6640625" customWidth="1"/>
    <col min="5378" max="5378" width="47.44140625" customWidth="1"/>
    <col min="5379" max="5379" width="0" hidden="1" customWidth="1"/>
    <col min="5380" max="5380" width="11" customWidth="1"/>
    <col min="5381" max="5381" width="0" hidden="1" customWidth="1"/>
    <col min="5382" max="5382" width="11.33203125" customWidth="1"/>
    <col min="5383" max="5383" width="0" hidden="1" customWidth="1"/>
    <col min="5384" max="5384" width="11.109375" customWidth="1"/>
    <col min="5385" max="5385" width="8.33203125" customWidth="1"/>
    <col min="5633" max="5633" width="5.6640625" customWidth="1"/>
    <col min="5634" max="5634" width="47.44140625" customWidth="1"/>
    <col min="5635" max="5635" width="0" hidden="1" customWidth="1"/>
    <col min="5636" max="5636" width="11" customWidth="1"/>
    <col min="5637" max="5637" width="0" hidden="1" customWidth="1"/>
    <col min="5638" max="5638" width="11.33203125" customWidth="1"/>
    <col min="5639" max="5639" width="0" hidden="1" customWidth="1"/>
    <col min="5640" max="5640" width="11.109375" customWidth="1"/>
    <col min="5641" max="5641" width="8.33203125" customWidth="1"/>
    <col min="5889" max="5889" width="5.6640625" customWidth="1"/>
    <col min="5890" max="5890" width="47.44140625" customWidth="1"/>
    <col min="5891" max="5891" width="0" hidden="1" customWidth="1"/>
    <col min="5892" max="5892" width="11" customWidth="1"/>
    <col min="5893" max="5893" width="0" hidden="1" customWidth="1"/>
    <col min="5894" max="5894" width="11.33203125" customWidth="1"/>
    <col min="5895" max="5895" width="0" hidden="1" customWidth="1"/>
    <col min="5896" max="5896" width="11.109375" customWidth="1"/>
    <col min="5897" max="5897" width="8.33203125" customWidth="1"/>
    <col min="6145" max="6145" width="5.6640625" customWidth="1"/>
    <col min="6146" max="6146" width="47.44140625" customWidth="1"/>
    <col min="6147" max="6147" width="0" hidden="1" customWidth="1"/>
    <col min="6148" max="6148" width="11" customWidth="1"/>
    <col min="6149" max="6149" width="0" hidden="1" customWidth="1"/>
    <col min="6150" max="6150" width="11.33203125" customWidth="1"/>
    <col min="6151" max="6151" width="0" hidden="1" customWidth="1"/>
    <col min="6152" max="6152" width="11.109375" customWidth="1"/>
    <col min="6153" max="6153" width="8.33203125" customWidth="1"/>
    <col min="6401" max="6401" width="5.6640625" customWidth="1"/>
    <col min="6402" max="6402" width="47.44140625" customWidth="1"/>
    <col min="6403" max="6403" width="0" hidden="1" customWidth="1"/>
    <col min="6404" max="6404" width="11" customWidth="1"/>
    <col min="6405" max="6405" width="0" hidden="1" customWidth="1"/>
    <col min="6406" max="6406" width="11.33203125" customWidth="1"/>
    <col min="6407" max="6407" width="0" hidden="1" customWidth="1"/>
    <col min="6408" max="6408" width="11.109375" customWidth="1"/>
    <col min="6409" max="6409" width="8.33203125" customWidth="1"/>
    <col min="6657" max="6657" width="5.6640625" customWidth="1"/>
    <col min="6658" max="6658" width="47.44140625" customWidth="1"/>
    <col min="6659" max="6659" width="0" hidden="1" customWidth="1"/>
    <col min="6660" max="6660" width="11" customWidth="1"/>
    <col min="6661" max="6661" width="0" hidden="1" customWidth="1"/>
    <col min="6662" max="6662" width="11.33203125" customWidth="1"/>
    <col min="6663" max="6663" width="0" hidden="1" customWidth="1"/>
    <col min="6664" max="6664" width="11.109375" customWidth="1"/>
    <col min="6665" max="6665" width="8.33203125" customWidth="1"/>
    <col min="6913" max="6913" width="5.6640625" customWidth="1"/>
    <col min="6914" max="6914" width="47.44140625" customWidth="1"/>
    <col min="6915" max="6915" width="0" hidden="1" customWidth="1"/>
    <col min="6916" max="6916" width="11" customWidth="1"/>
    <col min="6917" max="6917" width="0" hidden="1" customWidth="1"/>
    <col min="6918" max="6918" width="11.33203125" customWidth="1"/>
    <col min="6919" max="6919" width="0" hidden="1" customWidth="1"/>
    <col min="6920" max="6920" width="11.109375" customWidth="1"/>
    <col min="6921" max="6921" width="8.33203125" customWidth="1"/>
    <col min="7169" max="7169" width="5.6640625" customWidth="1"/>
    <col min="7170" max="7170" width="47.44140625" customWidth="1"/>
    <col min="7171" max="7171" width="0" hidden="1" customWidth="1"/>
    <col min="7172" max="7172" width="11" customWidth="1"/>
    <col min="7173" max="7173" width="0" hidden="1" customWidth="1"/>
    <col min="7174" max="7174" width="11.33203125" customWidth="1"/>
    <col min="7175" max="7175" width="0" hidden="1" customWidth="1"/>
    <col min="7176" max="7176" width="11.109375" customWidth="1"/>
    <col min="7177" max="7177" width="8.33203125" customWidth="1"/>
    <col min="7425" max="7425" width="5.6640625" customWidth="1"/>
    <col min="7426" max="7426" width="47.44140625" customWidth="1"/>
    <col min="7427" max="7427" width="0" hidden="1" customWidth="1"/>
    <col min="7428" max="7428" width="11" customWidth="1"/>
    <col min="7429" max="7429" width="0" hidden="1" customWidth="1"/>
    <col min="7430" max="7430" width="11.33203125" customWidth="1"/>
    <col min="7431" max="7431" width="0" hidden="1" customWidth="1"/>
    <col min="7432" max="7432" width="11.109375" customWidth="1"/>
    <col min="7433" max="7433" width="8.33203125" customWidth="1"/>
    <col min="7681" max="7681" width="5.6640625" customWidth="1"/>
    <col min="7682" max="7682" width="47.44140625" customWidth="1"/>
    <col min="7683" max="7683" width="0" hidden="1" customWidth="1"/>
    <col min="7684" max="7684" width="11" customWidth="1"/>
    <col min="7685" max="7685" width="0" hidden="1" customWidth="1"/>
    <col min="7686" max="7686" width="11.33203125" customWidth="1"/>
    <col min="7687" max="7687" width="0" hidden="1" customWidth="1"/>
    <col min="7688" max="7688" width="11.109375" customWidth="1"/>
    <col min="7689" max="7689" width="8.33203125" customWidth="1"/>
    <col min="7937" max="7937" width="5.6640625" customWidth="1"/>
    <col min="7938" max="7938" width="47.44140625" customWidth="1"/>
    <col min="7939" max="7939" width="0" hidden="1" customWidth="1"/>
    <col min="7940" max="7940" width="11" customWidth="1"/>
    <col min="7941" max="7941" width="0" hidden="1" customWidth="1"/>
    <col min="7942" max="7942" width="11.33203125" customWidth="1"/>
    <col min="7943" max="7943" width="0" hidden="1" customWidth="1"/>
    <col min="7944" max="7944" width="11.109375" customWidth="1"/>
    <col min="7945" max="7945" width="8.33203125" customWidth="1"/>
    <col min="8193" max="8193" width="5.6640625" customWidth="1"/>
    <col min="8194" max="8194" width="47.44140625" customWidth="1"/>
    <col min="8195" max="8195" width="0" hidden="1" customWidth="1"/>
    <col min="8196" max="8196" width="11" customWidth="1"/>
    <col min="8197" max="8197" width="0" hidden="1" customWidth="1"/>
    <col min="8198" max="8198" width="11.33203125" customWidth="1"/>
    <col min="8199" max="8199" width="0" hidden="1" customWidth="1"/>
    <col min="8200" max="8200" width="11.109375" customWidth="1"/>
    <col min="8201" max="8201" width="8.33203125" customWidth="1"/>
    <col min="8449" max="8449" width="5.6640625" customWidth="1"/>
    <col min="8450" max="8450" width="47.44140625" customWidth="1"/>
    <col min="8451" max="8451" width="0" hidden="1" customWidth="1"/>
    <col min="8452" max="8452" width="11" customWidth="1"/>
    <col min="8453" max="8453" width="0" hidden="1" customWidth="1"/>
    <col min="8454" max="8454" width="11.33203125" customWidth="1"/>
    <col min="8455" max="8455" width="0" hidden="1" customWidth="1"/>
    <col min="8456" max="8456" width="11.109375" customWidth="1"/>
    <col min="8457" max="8457" width="8.33203125" customWidth="1"/>
    <col min="8705" max="8705" width="5.6640625" customWidth="1"/>
    <col min="8706" max="8706" width="47.44140625" customWidth="1"/>
    <col min="8707" max="8707" width="0" hidden="1" customWidth="1"/>
    <col min="8708" max="8708" width="11" customWidth="1"/>
    <col min="8709" max="8709" width="0" hidden="1" customWidth="1"/>
    <col min="8710" max="8710" width="11.33203125" customWidth="1"/>
    <col min="8711" max="8711" width="0" hidden="1" customWidth="1"/>
    <col min="8712" max="8712" width="11.109375" customWidth="1"/>
    <col min="8713" max="8713" width="8.33203125" customWidth="1"/>
    <col min="8961" max="8961" width="5.6640625" customWidth="1"/>
    <col min="8962" max="8962" width="47.44140625" customWidth="1"/>
    <col min="8963" max="8963" width="0" hidden="1" customWidth="1"/>
    <col min="8964" max="8964" width="11" customWidth="1"/>
    <col min="8965" max="8965" width="0" hidden="1" customWidth="1"/>
    <col min="8966" max="8966" width="11.33203125" customWidth="1"/>
    <col min="8967" max="8967" width="0" hidden="1" customWidth="1"/>
    <col min="8968" max="8968" width="11.109375" customWidth="1"/>
    <col min="8969" max="8969" width="8.33203125" customWidth="1"/>
    <col min="9217" max="9217" width="5.6640625" customWidth="1"/>
    <col min="9218" max="9218" width="47.44140625" customWidth="1"/>
    <col min="9219" max="9219" width="0" hidden="1" customWidth="1"/>
    <col min="9220" max="9220" width="11" customWidth="1"/>
    <col min="9221" max="9221" width="0" hidden="1" customWidth="1"/>
    <col min="9222" max="9222" width="11.33203125" customWidth="1"/>
    <col min="9223" max="9223" width="0" hidden="1" customWidth="1"/>
    <col min="9224" max="9224" width="11.109375" customWidth="1"/>
    <col min="9225" max="9225" width="8.33203125" customWidth="1"/>
    <col min="9473" max="9473" width="5.6640625" customWidth="1"/>
    <col min="9474" max="9474" width="47.44140625" customWidth="1"/>
    <col min="9475" max="9475" width="0" hidden="1" customWidth="1"/>
    <col min="9476" max="9476" width="11" customWidth="1"/>
    <col min="9477" max="9477" width="0" hidden="1" customWidth="1"/>
    <col min="9478" max="9478" width="11.33203125" customWidth="1"/>
    <col min="9479" max="9479" width="0" hidden="1" customWidth="1"/>
    <col min="9480" max="9480" width="11.109375" customWidth="1"/>
    <col min="9481" max="9481" width="8.33203125" customWidth="1"/>
    <col min="9729" max="9729" width="5.6640625" customWidth="1"/>
    <col min="9730" max="9730" width="47.44140625" customWidth="1"/>
    <col min="9731" max="9731" width="0" hidden="1" customWidth="1"/>
    <col min="9732" max="9732" width="11" customWidth="1"/>
    <col min="9733" max="9733" width="0" hidden="1" customWidth="1"/>
    <col min="9734" max="9734" width="11.33203125" customWidth="1"/>
    <col min="9735" max="9735" width="0" hidden="1" customWidth="1"/>
    <col min="9736" max="9736" width="11.109375" customWidth="1"/>
    <col min="9737" max="9737" width="8.33203125" customWidth="1"/>
    <col min="9985" max="9985" width="5.6640625" customWidth="1"/>
    <col min="9986" max="9986" width="47.44140625" customWidth="1"/>
    <col min="9987" max="9987" width="0" hidden="1" customWidth="1"/>
    <col min="9988" max="9988" width="11" customWidth="1"/>
    <col min="9989" max="9989" width="0" hidden="1" customWidth="1"/>
    <col min="9990" max="9990" width="11.33203125" customWidth="1"/>
    <col min="9991" max="9991" width="0" hidden="1" customWidth="1"/>
    <col min="9992" max="9992" width="11.109375" customWidth="1"/>
    <col min="9993" max="9993" width="8.33203125" customWidth="1"/>
    <col min="10241" max="10241" width="5.6640625" customWidth="1"/>
    <col min="10242" max="10242" width="47.44140625" customWidth="1"/>
    <col min="10243" max="10243" width="0" hidden="1" customWidth="1"/>
    <col min="10244" max="10244" width="11" customWidth="1"/>
    <col min="10245" max="10245" width="0" hidden="1" customWidth="1"/>
    <col min="10246" max="10246" width="11.33203125" customWidth="1"/>
    <col min="10247" max="10247" width="0" hidden="1" customWidth="1"/>
    <col min="10248" max="10248" width="11.109375" customWidth="1"/>
    <col min="10249" max="10249" width="8.33203125" customWidth="1"/>
    <col min="10497" max="10497" width="5.6640625" customWidth="1"/>
    <col min="10498" max="10498" width="47.44140625" customWidth="1"/>
    <col min="10499" max="10499" width="0" hidden="1" customWidth="1"/>
    <col min="10500" max="10500" width="11" customWidth="1"/>
    <col min="10501" max="10501" width="0" hidden="1" customWidth="1"/>
    <col min="10502" max="10502" width="11.33203125" customWidth="1"/>
    <col min="10503" max="10503" width="0" hidden="1" customWidth="1"/>
    <col min="10504" max="10504" width="11.109375" customWidth="1"/>
    <col min="10505" max="10505" width="8.33203125" customWidth="1"/>
    <col min="10753" max="10753" width="5.6640625" customWidth="1"/>
    <col min="10754" max="10754" width="47.44140625" customWidth="1"/>
    <col min="10755" max="10755" width="0" hidden="1" customWidth="1"/>
    <col min="10756" max="10756" width="11" customWidth="1"/>
    <col min="10757" max="10757" width="0" hidden="1" customWidth="1"/>
    <col min="10758" max="10758" width="11.33203125" customWidth="1"/>
    <col min="10759" max="10759" width="0" hidden="1" customWidth="1"/>
    <col min="10760" max="10760" width="11.109375" customWidth="1"/>
    <col min="10761" max="10761" width="8.33203125" customWidth="1"/>
    <col min="11009" max="11009" width="5.6640625" customWidth="1"/>
    <col min="11010" max="11010" width="47.44140625" customWidth="1"/>
    <col min="11011" max="11011" width="0" hidden="1" customWidth="1"/>
    <col min="11012" max="11012" width="11" customWidth="1"/>
    <col min="11013" max="11013" width="0" hidden="1" customWidth="1"/>
    <col min="11014" max="11014" width="11.33203125" customWidth="1"/>
    <col min="11015" max="11015" width="0" hidden="1" customWidth="1"/>
    <col min="11016" max="11016" width="11.109375" customWidth="1"/>
    <col min="11017" max="11017" width="8.33203125" customWidth="1"/>
    <col min="11265" max="11265" width="5.6640625" customWidth="1"/>
    <col min="11266" max="11266" width="47.44140625" customWidth="1"/>
    <col min="11267" max="11267" width="0" hidden="1" customWidth="1"/>
    <col min="11268" max="11268" width="11" customWidth="1"/>
    <col min="11269" max="11269" width="0" hidden="1" customWidth="1"/>
    <col min="11270" max="11270" width="11.33203125" customWidth="1"/>
    <col min="11271" max="11271" width="0" hidden="1" customWidth="1"/>
    <col min="11272" max="11272" width="11.109375" customWidth="1"/>
    <col min="11273" max="11273" width="8.33203125" customWidth="1"/>
    <col min="11521" max="11521" width="5.6640625" customWidth="1"/>
    <col min="11522" max="11522" width="47.44140625" customWidth="1"/>
    <col min="11523" max="11523" width="0" hidden="1" customWidth="1"/>
    <col min="11524" max="11524" width="11" customWidth="1"/>
    <col min="11525" max="11525" width="0" hidden="1" customWidth="1"/>
    <col min="11526" max="11526" width="11.33203125" customWidth="1"/>
    <col min="11527" max="11527" width="0" hidden="1" customWidth="1"/>
    <col min="11528" max="11528" width="11.109375" customWidth="1"/>
    <col min="11529" max="11529" width="8.33203125" customWidth="1"/>
    <col min="11777" max="11777" width="5.6640625" customWidth="1"/>
    <col min="11778" max="11778" width="47.44140625" customWidth="1"/>
    <col min="11779" max="11779" width="0" hidden="1" customWidth="1"/>
    <col min="11780" max="11780" width="11" customWidth="1"/>
    <col min="11781" max="11781" width="0" hidden="1" customWidth="1"/>
    <col min="11782" max="11782" width="11.33203125" customWidth="1"/>
    <col min="11783" max="11783" width="0" hidden="1" customWidth="1"/>
    <col min="11784" max="11784" width="11.109375" customWidth="1"/>
    <col min="11785" max="11785" width="8.33203125" customWidth="1"/>
    <col min="12033" max="12033" width="5.6640625" customWidth="1"/>
    <col min="12034" max="12034" width="47.44140625" customWidth="1"/>
    <col min="12035" max="12035" width="0" hidden="1" customWidth="1"/>
    <col min="12036" max="12036" width="11" customWidth="1"/>
    <col min="12037" max="12037" width="0" hidden="1" customWidth="1"/>
    <col min="12038" max="12038" width="11.33203125" customWidth="1"/>
    <col min="12039" max="12039" width="0" hidden="1" customWidth="1"/>
    <col min="12040" max="12040" width="11.109375" customWidth="1"/>
    <col min="12041" max="12041" width="8.33203125" customWidth="1"/>
    <col min="12289" max="12289" width="5.6640625" customWidth="1"/>
    <col min="12290" max="12290" width="47.44140625" customWidth="1"/>
    <col min="12291" max="12291" width="0" hidden="1" customWidth="1"/>
    <col min="12292" max="12292" width="11" customWidth="1"/>
    <col min="12293" max="12293" width="0" hidden="1" customWidth="1"/>
    <col min="12294" max="12294" width="11.33203125" customWidth="1"/>
    <col min="12295" max="12295" width="0" hidden="1" customWidth="1"/>
    <col min="12296" max="12296" width="11.109375" customWidth="1"/>
    <col min="12297" max="12297" width="8.33203125" customWidth="1"/>
    <col min="12545" max="12545" width="5.6640625" customWidth="1"/>
    <col min="12546" max="12546" width="47.44140625" customWidth="1"/>
    <col min="12547" max="12547" width="0" hidden="1" customWidth="1"/>
    <col min="12548" max="12548" width="11" customWidth="1"/>
    <col min="12549" max="12549" width="0" hidden="1" customWidth="1"/>
    <col min="12550" max="12550" width="11.33203125" customWidth="1"/>
    <col min="12551" max="12551" width="0" hidden="1" customWidth="1"/>
    <col min="12552" max="12552" width="11.109375" customWidth="1"/>
    <col min="12553" max="12553" width="8.33203125" customWidth="1"/>
    <col min="12801" max="12801" width="5.6640625" customWidth="1"/>
    <col min="12802" max="12802" width="47.44140625" customWidth="1"/>
    <col min="12803" max="12803" width="0" hidden="1" customWidth="1"/>
    <col min="12804" max="12804" width="11" customWidth="1"/>
    <col min="12805" max="12805" width="0" hidden="1" customWidth="1"/>
    <col min="12806" max="12806" width="11.33203125" customWidth="1"/>
    <col min="12807" max="12807" width="0" hidden="1" customWidth="1"/>
    <col min="12808" max="12808" width="11.109375" customWidth="1"/>
    <col min="12809" max="12809" width="8.33203125" customWidth="1"/>
    <col min="13057" max="13057" width="5.6640625" customWidth="1"/>
    <col min="13058" max="13058" width="47.44140625" customWidth="1"/>
    <col min="13059" max="13059" width="0" hidden="1" customWidth="1"/>
    <col min="13060" max="13060" width="11" customWidth="1"/>
    <col min="13061" max="13061" width="0" hidden="1" customWidth="1"/>
    <col min="13062" max="13062" width="11.33203125" customWidth="1"/>
    <col min="13063" max="13063" width="0" hidden="1" customWidth="1"/>
    <col min="13064" max="13064" width="11.109375" customWidth="1"/>
    <col min="13065" max="13065" width="8.33203125" customWidth="1"/>
    <col min="13313" max="13313" width="5.6640625" customWidth="1"/>
    <col min="13314" max="13314" width="47.44140625" customWidth="1"/>
    <col min="13315" max="13315" width="0" hidden="1" customWidth="1"/>
    <col min="13316" max="13316" width="11" customWidth="1"/>
    <col min="13317" max="13317" width="0" hidden="1" customWidth="1"/>
    <col min="13318" max="13318" width="11.33203125" customWidth="1"/>
    <col min="13319" max="13319" width="0" hidden="1" customWidth="1"/>
    <col min="13320" max="13320" width="11.109375" customWidth="1"/>
    <col min="13321" max="13321" width="8.33203125" customWidth="1"/>
    <col min="13569" max="13569" width="5.6640625" customWidth="1"/>
    <col min="13570" max="13570" width="47.44140625" customWidth="1"/>
    <col min="13571" max="13571" width="0" hidden="1" customWidth="1"/>
    <col min="13572" max="13572" width="11" customWidth="1"/>
    <col min="13573" max="13573" width="0" hidden="1" customWidth="1"/>
    <col min="13574" max="13574" width="11.33203125" customWidth="1"/>
    <col min="13575" max="13575" width="0" hidden="1" customWidth="1"/>
    <col min="13576" max="13576" width="11.109375" customWidth="1"/>
    <col min="13577" max="13577" width="8.33203125" customWidth="1"/>
    <col min="13825" max="13825" width="5.6640625" customWidth="1"/>
    <col min="13826" max="13826" width="47.44140625" customWidth="1"/>
    <col min="13827" max="13827" width="0" hidden="1" customWidth="1"/>
    <col min="13828" max="13828" width="11" customWidth="1"/>
    <col min="13829" max="13829" width="0" hidden="1" customWidth="1"/>
    <col min="13830" max="13830" width="11.33203125" customWidth="1"/>
    <col min="13831" max="13831" width="0" hidden="1" customWidth="1"/>
    <col min="13832" max="13832" width="11.109375" customWidth="1"/>
    <col min="13833" max="13833" width="8.33203125" customWidth="1"/>
    <col min="14081" max="14081" width="5.6640625" customWidth="1"/>
    <col min="14082" max="14082" width="47.44140625" customWidth="1"/>
    <col min="14083" max="14083" width="0" hidden="1" customWidth="1"/>
    <col min="14084" max="14084" width="11" customWidth="1"/>
    <col min="14085" max="14085" width="0" hidden="1" customWidth="1"/>
    <col min="14086" max="14086" width="11.33203125" customWidth="1"/>
    <col min="14087" max="14087" width="0" hidden="1" customWidth="1"/>
    <col min="14088" max="14088" width="11.109375" customWidth="1"/>
    <col min="14089" max="14089" width="8.33203125" customWidth="1"/>
    <col min="14337" max="14337" width="5.6640625" customWidth="1"/>
    <col min="14338" max="14338" width="47.44140625" customWidth="1"/>
    <col min="14339" max="14339" width="0" hidden="1" customWidth="1"/>
    <col min="14340" max="14340" width="11" customWidth="1"/>
    <col min="14341" max="14341" width="0" hidden="1" customWidth="1"/>
    <col min="14342" max="14342" width="11.33203125" customWidth="1"/>
    <col min="14343" max="14343" width="0" hidden="1" customWidth="1"/>
    <col min="14344" max="14344" width="11.109375" customWidth="1"/>
    <col min="14345" max="14345" width="8.33203125" customWidth="1"/>
    <col min="14593" max="14593" width="5.6640625" customWidth="1"/>
    <col min="14594" max="14594" width="47.44140625" customWidth="1"/>
    <col min="14595" max="14595" width="0" hidden="1" customWidth="1"/>
    <col min="14596" max="14596" width="11" customWidth="1"/>
    <col min="14597" max="14597" width="0" hidden="1" customWidth="1"/>
    <col min="14598" max="14598" width="11.33203125" customWidth="1"/>
    <col min="14599" max="14599" width="0" hidden="1" customWidth="1"/>
    <col min="14600" max="14600" width="11.109375" customWidth="1"/>
    <col min="14601" max="14601" width="8.33203125" customWidth="1"/>
    <col min="14849" max="14849" width="5.6640625" customWidth="1"/>
    <col min="14850" max="14850" width="47.44140625" customWidth="1"/>
    <col min="14851" max="14851" width="0" hidden="1" customWidth="1"/>
    <col min="14852" max="14852" width="11" customWidth="1"/>
    <col min="14853" max="14853" width="0" hidden="1" customWidth="1"/>
    <col min="14854" max="14854" width="11.33203125" customWidth="1"/>
    <col min="14855" max="14855" width="0" hidden="1" customWidth="1"/>
    <col min="14856" max="14856" width="11.109375" customWidth="1"/>
    <col min="14857" max="14857" width="8.33203125" customWidth="1"/>
    <col min="15105" max="15105" width="5.6640625" customWidth="1"/>
    <col min="15106" max="15106" width="47.44140625" customWidth="1"/>
    <col min="15107" max="15107" width="0" hidden="1" customWidth="1"/>
    <col min="15108" max="15108" width="11" customWidth="1"/>
    <col min="15109" max="15109" width="0" hidden="1" customWidth="1"/>
    <col min="15110" max="15110" width="11.33203125" customWidth="1"/>
    <col min="15111" max="15111" width="0" hidden="1" customWidth="1"/>
    <col min="15112" max="15112" width="11.109375" customWidth="1"/>
    <col min="15113" max="15113" width="8.33203125" customWidth="1"/>
    <col min="15361" max="15361" width="5.6640625" customWidth="1"/>
    <col min="15362" max="15362" width="47.44140625" customWidth="1"/>
    <col min="15363" max="15363" width="0" hidden="1" customWidth="1"/>
    <col min="15364" max="15364" width="11" customWidth="1"/>
    <col min="15365" max="15365" width="0" hidden="1" customWidth="1"/>
    <col min="15366" max="15366" width="11.33203125" customWidth="1"/>
    <col min="15367" max="15367" width="0" hidden="1" customWidth="1"/>
    <col min="15368" max="15368" width="11.109375" customWidth="1"/>
    <col min="15369" max="15369" width="8.33203125" customWidth="1"/>
    <col min="15617" max="15617" width="5.6640625" customWidth="1"/>
    <col min="15618" max="15618" width="47.44140625" customWidth="1"/>
    <col min="15619" max="15619" width="0" hidden="1" customWidth="1"/>
    <col min="15620" max="15620" width="11" customWidth="1"/>
    <col min="15621" max="15621" width="0" hidden="1" customWidth="1"/>
    <col min="15622" max="15622" width="11.33203125" customWidth="1"/>
    <col min="15623" max="15623" width="0" hidden="1" customWidth="1"/>
    <col min="15624" max="15624" width="11.109375" customWidth="1"/>
    <col min="15625" max="15625" width="8.33203125" customWidth="1"/>
    <col min="15873" max="15873" width="5.6640625" customWidth="1"/>
    <col min="15874" max="15874" width="47.44140625" customWidth="1"/>
    <col min="15875" max="15875" width="0" hidden="1" customWidth="1"/>
    <col min="15876" max="15876" width="11" customWidth="1"/>
    <col min="15877" max="15877" width="0" hidden="1" customWidth="1"/>
    <col min="15878" max="15878" width="11.33203125" customWidth="1"/>
    <col min="15879" max="15879" width="0" hidden="1" customWidth="1"/>
    <col min="15880" max="15880" width="11.109375" customWidth="1"/>
    <col min="15881" max="15881" width="8.33203125" customWidth="1"/>
    <col min="16129" max="16129" width="5.6640625" customWidth="1"/>
    <col min="16130" max="16130" width="47.44140625" customWidth="1"/>
    <col min="16131" max="16131" width="0" hidden="1" customWidth="1"/>
    <col min="16132" max="16132" width="11" customWidth="1"/>
    <col min="16133" max="16133" width="0" hidden="1" customWidth="1"/>
    <col min="16134" max="16134" width="11.33203125" customWidth="1"/>
    <col min="16135" max="16135" width="0" hidden="1" customWidth="1"/>
    <col min="16136" max="16136" width="11.109375" customWidth="1"/>
    <col min="16137" max="16137" width="8.33203125" customWidth="1"/>
  </cols>
  <sheetData>
    <row r="1" spans="1:9" ht="15.6">
      <c r="A1" s="872" t="s">
        <v>1124</v>
      </c>
      <c r="B1" s="872"/>
      <c r="C1" s="872"/>
      <c r="D1" s="872"/>
      <c r="E1" s="872"/>
      <c r="F1" s="872"/>
      <c r="G1" s="872"/>
      <c r="H1" s="872"/>
      <c r="I1" s="872"/>
    </row>
    <row r="2" spans="1:9" ht="8.25" customHeight="1" thickBot="1">
      <c r="A2" s="86"/>
      <c r="B2" s="86"/>
      <c r="C2" s="86"/>
      <c r="D2" s="86"/>
      <c r="E2" s="86"/>
      <c r="F2" s="86"/>
      <c r="G2" s="86"/>
      <c r="H2" s="86"/>
      <c r="I2" s="86"/>
    </row>
    <row r="3" spans="1:9" ht="24.75" customHeight="1" thickBot="1">
      <c r="A3" s="873" t="s">
        <v>1125</v>
      </c>
      <c r="B3" s="874"/>
      <c r="C3" s="116" t="s">
        <v>1126</v>
      </c>
      <c r="D3" s="116" t="s">
        <v>1126</v>
      </c>
      <c r="E3" s="116" t="s">
        <v>1127</v>
      </c>
      <c r="F3" s="116" t="s">
        <v>1127</v>
      </c>
      <c r="G3" s="116" t="s">
        <v>1128</v>
      </c>
      <c r="H3" s="116" t="s">
        <v>1128</v>
      </c>
      <c r="I3" s="117" t="s">
        <v>1129</v>
      </c>
    </row>
    <row r="4" spans="1:9" ht="14.4" customHeight="1">
      <c r="A4" s="87" t="s">
        <v>1130</v>
      </c>
      <c r="B4" s="88" t="s">
        <v>1131</v>
      </c>
      <c r="C4" s="89">
        <v>636786749</v>
      </c>
      <c r="D4" s="90">
        <f>C4/1000</f>
        <v>636786.74899999995</v>
      </c>
      <c r="E4" s="90">
        <v>636786749</v>
      </c>
      <c r="F4" s="90">
        <f>E4/1000</f>
        <v>636786.74899999995</v>
      </c>
      <c r="G4" s="90">
        <v>719998519.54999995</v>
      </c>
      <c r="H4" s="91">
        <f>G4/1000</f>
        <v>719998.51954999997</v>
      </c>
      <c r="I4" s="92">
        <f>H4/F4</f>
        <v>1.1306744694054556</v>
      </c>
    </row>
    <row r="5" spans="1:9" ht="14.4" customHeight="1">
      <c r="A5" s="93" t="s">
        <v>1132</v>
      </c>
      <c r="B5" s="94" t="s">
        <v>1133</v>
      </c>
      <c r="C5" s="95">
        <v>67743271</v>
      </c>
      <c r="D5" s="96">
        <f t="shared" ref="D5:D46" si="0">C5/1000</f>
        <v>67743.270999999993</v>
      </c>
      <c r="E5" s="96">
        <v>67743271</v>
      </c>
      <c r="F5" s="96">
        <f t="shared" ref="F5:F46" si="1">E5/1000</f>
        <v>67743.270999999993</v>
      </c>
      <c r="G5" s="96">
        <v>30038410.609999999</v>
      </c>
      <c r="H5" s="97">
        <f t="shared" ref="H5:H46" si="2">G5/1000</f>
        <v>30038.410609999999</v>
      </c>
      <c r="I5" s="98">
        <f t="shared" ref="I5:I46" si="3">H5/F5</f>
        <v>0.44341541479448199</v>
      </c>
    </row>
    <row r="6" spans="1:9" ht="14.4" customHeight="1">
      <c r="A6" s="93" t="s">
        <v>1134</v>
      </c>
      <c r="B6" s="94" t="s">
        <v>1135</v>
      </c>
      <c r="C6" s="95">
        <v>60968944</v>
      </c>
      <c r="D6" s="96">
        <f t="shared" si="0"/>
        <v>60968.944000000003</v>
      </c>
      <c r="E6" s="96">
        <v>60968944</v>
      </c>
      <c r="F6" s="96">
        <f t="shared" si="1"/>
        <v>60968.944000000003</v>
      </c>
      <c r="G6" s="96">
        <v>65881577.780000001</v>
      </c>
      <c r="H6" s="97">
        <f t="shared" si="2"/>
        <v>65881.577780000007</v>
      </c>
      <c r="I6" s="98">
        <f t="shared" si="3"/>
        <v>1.0805760024316642</v>
      </c>
    </row>
    <row r="7" spans="1:9" ht="14.4" customHeight="1">
      <c r="A7" s="93" t="s">
        <v>1136</v>
      </c>
      <c r="B7" s="94" t="s">
        <v>1137</v>
      </c>
      <c r="C7" s="95">
        <v>867113872</v>
      </c>
      <c r="D7" s="96">
        <f t="shared" si="0"/>
        <v>867113.87199999997</v>
      </c>
      <c r="E7" s="96">
        <v>867113872</v>
      </c>
      <c r="F7" s="96">
        <f t="shared" si="1"/>
        <v>867113.87199999997</v>
      </c>
      <c r="G7" s="96">
        <v>802397982.40999997</v>
      </c>
      <c r="H7" s="97">
        <f t="shared" si="2"/>
        <v>802397.98240999994</v>
      </c>
      <c r="I7" s="98">
        <f t="shared" si="3"/>
        <v>0.92536633113626388</v>
      </c>
    </row>
    <row r="8" spans="1:9" ht="14.4" customHeight="1">
      <c r="A8" s="93" t="s">
        <v>1138</v>
      </c>
      <c r="B8" s="94" t="s">
        <v>1139</v>
      </c>
      <c r="C8" s="95">
        <v>0</v>
      </c>
      <c r="D8" s="96">
        <f t="shared" si="0"/>
        <v>0</v>
      </c>
      <c r="E8" s="96">
        <v>9307540</v>
      </c>
      <c r="F8" s="96">
        <f t="shared" si="1"/>
        <v>9307.5400000000009</v>
      </c>
      <c r="G8" s="96">
        <v>9307540</v>
      </c>
      <c r="H8" s="97">
        <f t="shared" si="2"/>
        <v>9307.5400000000009</v>
      </c>
      <c r="I8" s="98">
        <f t="shared" si="3"/>
        <v>1</v>
      </c>
    </row>
    <row r="9" spans="1:9" ht="14.4" customHeight="1">
      <c r="A9" s="93" t="s">
        <v>1140</v>
      </c>
      <c r="B9" s="94" t="s">
        <v>1141</v>
      </c>
      <c r="C9" s="95">
        <v>1639387164</v>
      </c>
      <c r="D9" s="96">
        <f t="shared" si="0"/>
        <v>1639387.1640000001</v>
      </c>
      <c r="E9" s="96">
        <v>1721752664</v>
      </c>
      <c r="F9" s="96">
        <f t="shared" si="1"/>
        <v>1721752.6640000001</v>
      </c>
      <c r="G9" s="96">
        <v>1731375562.9000001</v>
      </c>
      <c r="H9" s="97">
        <f t="shared" si="2"/>
        <v>1731375.5629</v>
      </c>
      <c r="I9" s="98">
        <f t="shared" si="3"/>
        <v>1.0055890135100147</v>
      </c>
    </row>
    <row r="10" spans="1:9" ht="14.4" customHeight="1" thickBot="1">
      <c r="A10" s="99" t="s">
        <v>1142</v>
      </c>
      <c r="B10" s="100" t="s">
        <v>1143</v>
      </c>
      <c r="C10" s="101">
        <v>2000000</v>
      </c>
      <c r="D10" s="102">
        <f t="shared" si="0"/>
        <v>2000</v>
      </c>
      <c r="E10" s="102">
        <v>2000000</v>
      </c>
      <c r="F10" s="102">
        <f t="shared" si="1"/>
        <v>2000</v>
      </c>
      <c r="G10" s="102">
        <v>1198528.8600000001</v>
      </c>
      <c r="H10" s="103">
        <f t="shared" si="2"/>
        <v>1198.5288600000001</v>
      </c>
      <c r="I10" s="104">
        <f t="shared" si="3"/>
        <v>0.59926443000000007</v>
      </c>
    </row>
    <row r="11" spans="1:9" ht="14.4" customHeight="1" thickBot="1">
      <c r="A11" s="875" t="s">
        <v>1144</v>
      </c>
      <c r="B11" s="876"/>
      <c r="C11" s="105">
        <f t="shared" ref="C11:H11" si="4">SUM(C4:C10)</f>
        <v>3274000000</v>
      </c>
      <c r="D11" s="105">
        <f t="shared" si="4"/>
        <v>3274000</v>
      </c>
      <c r="E11" s="105">
        <f t="shared" si="4"/>
        <v>3365673040</v>
      </c>
      <c r="F11" s="105">
        <f t="shared" si="4"/>
        <v>3365673.04</v>
      </c>
      <c r="G11" s="105">
        <f t="shared" si="4"/>
        <v>3360198122.1100001</v>
      </c>
      <c r="H11" s="105">
        <f t="shared" si="4"/>
        <v>3360198.1221099999</v>
      </c>
      <c r="I11" s="106">
        <f>H11/F11</f>
        <v>0.99837330666855262</v>
      </c>
    </row>
    <row r="12" spans="1:9" ht="14.4" customHeight="1">
      <c r="A12" s="107" t="s">
        <v>1145</v>
      </c>
      <c r="B12" s="108" t="s">
        <v>1146</v>
      </c>
      <c r="C12" s="109">
        <v>0</v>
      </c>
      <c r="D12" s="110">
        <f t="shared" si="0"/>
        <v>0</v>
      </c>
      <c r="E12" s="110">
        <v>0</v>
      </c>
      <c r="F12" s="110">
        <f t="shared" si="1"/>
        <v>0</v>
      </c>
      <c r="G12" s="110">
        <v>216854.94</v>
      </c>
      <c r="H12" s="111">
        <f t="shared" si="2"/>
        <v>216.85494</v>
      </c>
      <c r="I12" s="112" t="s">
        <v>1147</v>
      </c>
    </row>
    <row r="13" spans="1:9" ht="14.4" customHeight="1">
      <c r="A13" s="93" t="s">
        <v>1148</v>
      </c>
      <c r="B13" s="94" t="s">
        <v>1149</v>
      </c>
      <c r="C13" s="95">
        <v>0</v>
      </c>
      <c r="D13" s="96">
        <f t="shared" si="0"/>
        <v>0</v>
      </c>
      <c r="E13" s="96">
        <v>0</v>
      </c>
      <c r="F13" s="96">
        <f t="shared" si="1"/>
        <v>0</v>
      </c>
      <c r="G13" s="96">
        <v>18320</v>
      </c>
      <c r="H13" s="97">
        <f t="shared" si="2"/>
        <v>18.32</v>
      </c>
      <c r="I13" s="98" t="s">
        <v>1147</v>
      </c>
    </row>
    <row r="14" spans="1:9" ht="14.4" customHeight="1">
      <c r="A14" s="93" t="s">
        <v>1150</v>
      </c>
      <c r="B14" s="94" t="s">
        <v>1151</v>
      </c>
      <c r="C14" s="95">
        <v>0</v>
      </c>
      <c r="D14" s="96">
        <f t="shared" si="0"/>
        <v>0</v>
      </c>
      <c r="E14" s="96">
        <v>7403328.7999999998</v>
      </c>
      <c r="F14" s="96">
        <f t="shared" si="1"/>
        <v>7403.3288000000002</v>
      </c>
      <c r="G14" s="96">
        <v>7403328.7999999998</v>
      </c>
      <c r="H14" s="97">
        <f t="shared" si="2"/>
        <v>7403.3288000000002</v>
      </c>
      <c r="I14" s="98">
        <f t="shared" si="3"/>
        <v>1</v>
      </c>
    </row>
    <row r="15" spans="1:9" ht="14.4" customHeight="1">
      <c r="A15" s="93" t="s">
        <v>1152</v>
      </c>
      <c r="B15" s="94" t="s">
        <v>1153</v>
      </c>
      <c r="C15" s="95">
        <v>7000000</v>
      </c>
      <c r="D15" s="96">
        <f t="shared" si="0"/>
        <v>7000</v>
      </c>
      <c r="E15" s="96">
        <v>7000000</v>
      </c>
      <c r="F15" s="96">
        <f t="shared" si="1"/>
        <v>7000</v>
      </c>
      <c r="G15" s="96">
        <v>8793265.6999999993</v>
      </c>
      <c r="H15" s="97">
        <f t="shared" si="2"/>
        <v>8793.2656999999999</v>
      </c>
      <c r="I15" s="98">
        <f t="shared" si="3"/>
        <v>1.2561808142857143</v>
      </c>
    </row>
    <row r="16" spans="1:9" ht="14.4" customHeight="1">
      <c r="A16" s="93" t="s">
        <v>1154</v>
      </c>
      <c r="B16" s="94" t="s">
        <v>1155</v>
      </c>
      <c r="C16" s="95">
        <v>0</v>
      </c>
      <c r="D16" s="96">
        <f t="shared" si="0"/>
        <v>0</v>
      </c>
      <c r="E16" s="96">
        <v>0</v>
      </c>
      <c r="F16" s="96">
        <f t="shared" si="1"/>
        <v>0</v>
      </c>
      <c r="G16" s="96">
        <v>7200</v>
      </c>
      <c r="H16" s="97">
        <f t="shared" si="2"/>
        <v>7.2</v>
      </c>
      <c r="I16" s="98" t="s">
        <v>1147</v>
      </c>
    </row>
    <row r="17" spans="1:9" ht="14.4" customHeight="1">
      <c r="A17" s="93" t="s">
        <v>1156</v>
      </c>
      <c r="B17" s="94" t="s">
        <v>1157</v>
      </c>
      <c r="C17" s="95">
        <v>35000000</v>
      </c>
      <c r="D17" s="96">
        <f t="shared" si="0"/>
        <v>35000</v>
      </c>
      <c r="E17" s="96">
        <v>35000000</v>
      </c>
      <c r="F17" s="96">
        <f t="shared" si="1"/>
        <v>35000</v>
      </c>
      <c r="G17" s="96">
        <v>31946702.5</v>
      </c>
      <c r="H17" s="97">
        <f t="shared" si="2"/>
        <v>31946.702499999999</v>
      </c>
      <c r="I17" s="98">
        <f t="shared" si="3"/>
        <v>0.9127629285714286</v>
      </c>
    </row>
    <row r="18" spans="1:9" ht="14.4" customHeight="1">
      <c r="A18" s="93" t="s">
        <v>1158</v>
      </c>
      <c r="B18" s="94" t="s">
        <v>1159</v>
      </c>
      <c r="C18" s="95">
        <v>0</v>
      </c>
      <c r="D18" s="96">
        <f t="shared" si="0"/>
        <v>0</v>
      </c>
      <c r="E18" s="96">
        <v>0</v>
      </c>
      <c r="F18" s="96">
        <f t="shared" si="1"/>
        <v>0</v>
      </c>
      <c r="G18" s="96">
        <v>50799.66</v>
      </c>
      <c r="H18" s="97">
        <f t="shared" si="2"/>
        <v>50.799660000000003</v>
      </c>
      <c r="I18" s="98" t="s">
        <v>1147</v>
      </c>
    </row>
    <row r="19" spans="1:9" ht="14.4" customHeight="1">
      <c r="A19" s="93" t="s">
        <v>1160</v>
      </c>
      <c r="B19" s="94" t="s">
        <v>1161</v>
      </c>
      <c r="C19" s="95">
        <v>0</v>
      </c>
      <c r="D19" s="96">
        <f t="shared" si="0"/>
        <v>0</v>
      </c>
      <c r="E19" s="96">
        <v>0</v>
      </c>
      <c r="F19" s="96">
        <f t="shared" si="1"/>
        <v>0</v>
      </c>
      <c r="G19" s="96">
        <v>236400</v>
      </c>
      <c r="H19" s="97">
        <f t="shared" si="2"/>
        <v>236.4</v>
      </c>
      <c r="I19" s="98" t="s">
        <v>1147</v>
      </c>
    </row>
    <row r="20" spans="1:9" ht="14.4" customHeight="1">
      <c r="A20" s="93" t="s">
        <v>1162</v>
      </c>
      <c r="B20" s="94" t="s">
        <v>1163</v>
      </c>
      <c r="C20" s="95">
        <v>2515000</v>
      </c>
      <c r="D20" s="96">
        <f t="shared" si="0"/>
        <v>2515</v>
      </c>
      <c r="E20" s="96">
        <v>2515000</v>
      </c>
      <c r="F20" s="96">
        <f t="shared" si="1"/>
        <v>2515</v>
      </c>
      <c r="G20" s="96">
        <v>3031059.87</v>
      </c>
      <c r="H20" s="97">
        <f t="shared" si="2"/>
        <v>3031.05987</v>
      </c>
      <c r="I20" s="98">
        <f t="shared" si="3"/>
        <v>1.2051927912524851</v>
      </c>
    </row>
    <row r="21" spans="1:9" ht="21" customHeight="1">
      <c r="A21" s="93" t="s">
        <v>1164</v>
      </c>
      <c r="B21" s="94" t="s">
        <v>1165</v>
      </c>
      <c r="C21" s="95">
        <v>0</v>
      </c>
      <c r="D21" s="96">
        <f t="shared" si="0"/>
        <v>0</v>
      </c>
      <c r="E21" s="96">
        <v>1524146.4</v>
      </c>
      <c r="F21" s="96">
        <f t="shared" si="1"/>
        <v>1524.1463999999999</v>
      </c>
      <c r="G21" s="96">
        <v>1524146.4</v>
      </c>
      <c r="H21" s="97">
        <f t="shared" si="2"/>
        <v>1524.1463999999999</v>
      </c>
      <c r="I21" s="98">
        <f t="shared" si="3"/>
        <v>1</v>
      </c>
    </row>
    <row r="22" spans="1:9" ht="14.4" customHeight="1">
      <c r="A22" s="93" t="s">
        <v>1166</v>
      </c>
      <c r="B22" s="94" t="s">
        <v>1167</v>
      </c>
      <c r="C22" s="95">
        <v>0</v>
      </c>
      <c r="D22" s="96">
        <f t="shared" si="0"/>
        <v>0</v>
      </c>
      <c r="E22" s="96">
        <v>42418534.850000001</v>
      </c>
      <c r="F22" s="96">
        <f t="shared" si="1"/>
        <v>42418.534850000004</v>
      </c>
      <c r="G22" s="96">
        <v>42538724.850000001</v>
      </c>
      <c r="H22" s="97">
        <f t="shared" si="2"/>
        <v>42538.724849999999</v>
      </c>
      <c r="I22" s="98">
        <f t="shared" si="3"/>
        <v>1.0028334311975888</v>
      </c>
    </row>
    <row r="23" spans="1:9" ht="21" customHeight="1">
      <c r="A23" s="93" t="s">
        <v>1168</v>
      </c>
      <c r="B23" s="94" t="s">
        <v>1169</v>
      </c>
      <c r="C23" s="95">
        <v>0</v>
      </c>
      <c r="D23" s="96">
        <f t="shared" si="0"/>
        <v>0</v>
      </c>
      <c r="E23" s="96">
        <v>3897521.54</v>
      </c>
      <c r="F23" s="96">
        <f t="shared" si="1"/>
        <v>3897.5215400000002</v>
      </c>
      <c r="G23" s="96">
        <v>3897521.54</v>
      </c>
      <c r="H23" s="97">
        <f t="shared" si="2"/>
        <v>3897.5215400000002</v>
      </c>
      <c r="I23" s="98">
        <f t="shared" si="3"/>
        <v>1</v>
      </c>
    </row>
    <row r="24" spans="1:9" ht="14.4" customHeight="1">
      <c r="A24" s="93" t="s">
        <v>1170</v>
      </c>
      <c r="B24" s="94" t="s">
        <v>1171</v>
      </c>
      <c r="C24" s="95">
        <v>0</v>
      </c>
      <c r="D24" s="96">
        <f t="shared" si="0"/>
        <v>0</v>
      </c>
      <c r="E24" s="96">
        <v>1072559.83</v>
      </c>
      <c r="F24" s="96">
        <f t="shared" si="1"/>
        <v>1072.5598300000001</v>
      </c>
      <c r="G24" s="96">
        <v>3158001.43</v>
      </c>
      <c r="H24" s="97">
        <f t="shared" si="2"/>
        <v>3158.0014300000003</v>
      </c>
      <c r="I24" s="98">
        <f t="shared" si="3"/>
        <v>2.9443592251632245</v>
      </c>
    </row>
    <row r="25" spans="1:9" ht="14.4" customHeight="1">
      <c r="A25" s="93" t="s">
        <v>1172</v>
      </c>
      <c r="B25" s="94" t="s">
        <v>1173</v>
      </c>
      <c r="C25" s="95">
        <v>0</v>
      </c>
      <c r="D25" s="96">
        <f t="shared" si="0"/>
        <v>0</v>
      </c>
      <c r="E25" s="96">
        <v>0</v>
      </c>
      <c r="F25" s="96">
        <f t="shared" si="1"/>
        <v>0</v>
      </c>
      <c r="G25" s="96">
        <v>170500</v>
      </c>
      <c r="H25" s="97">
        <f t="shared" si="2"/>
        <v>170.5</v>
      </c>
      <c r="I25" s="98" t="s">
        <v>1147</v>
      </c>
    </row>
    <row r="26" spans="1:9" ht="14.4" customHeight="1">
      <c r="A26" s="93" t="s">
        <v>1174</v>
      </c>
      <c r="B26" s="94" t="s">
        <v>1175</v>
      </c>
      <c r="C26" s="95">
        <v>0</v>
      </c>
      <c r="D26" s="96">
        <f t="shared" si="0"/>
        <v>0</v>
      </c>
      <c r="E26" s="96">
        <v>656937.4</v>
      </c>
      <c r="F26" s="96">
        <f t="shared" si="1"/>
        <v>656.93740000000003</v>
      </c>
      <c r="G26" s="96">
        <v>2079645.4</v>
      </c>
      <c r="H26" s="97">
        <f t="shared" si="2"/>
        <v>2079.6453999999999</v>
      </c>
      <c r="I26" s="98">
        <f t="shared" si="3"/>
        <v>3.1656675354455381</v>
      </c>
    </row>
    <row r="27" spans="1:9" ht="14.4" customHeight="1">
      <c r="A27" s="93" t="s">
        <v>1176</v>
      </c>
      <c r="B27" s="94" t="s">
        <v>1177</v>
      </c>
      <c r="C27" s="95">
        <v>0</v>
      </c>
      <c r="D27" s="96">
        <f t="shared" si="0"/>
        <v>0</v>
      </c>
      <c r="E27" s="96">
        <v>0</v>
      </c>
      <c r="F27" s="96">
        <f t="shared" si="1"/>
        <v>0</v>
      </c>
      <c r="G27" s="96">
        <v>250</v>
      </c>
      <c r="H27" s="97">
        <f t="shared" si="2"/>
        <v>0.25</v>
      </c>
      <c r="I27" s="98" t="s">
        <v>1147</v>
      </c>
    </row>
    <row r="28" spans="1:9" ht="14.4" customHeight="1">
      <c r="A28" s="93" t="s">
        <v>1178</v>
      </c>
      <c r="B28" s="94" t="s">
        <v>1179</v>
      </c>
      <c r="C28" s="95">
        <v>0</v>
      </c>
      <c r="D28" s="96">
        <f t="shared" si="0"/>
        <v>0</v>
      </c>
      <c r="E28" s="96">
        <v>136103.70000000001</v>
      </c>
      <c r="F28" s="96">
        <f t="shared" si="1"/>
        <v>136.1037</v>
      </c>
      <c r="G28" s="96">
        <v>1381777.83</v>
      </c>
      <c r="H28" s="97">
        <f t="shared" si="2"/>
        <v>1381.77783</v>
      </c>
      <c r="I28" s="98">
        <f t="shared" si="3"/>
        <v>10.152389905638127</v>
      </c>
    </row>
    <row r="29" spans="1:9" ht="14.4" customHeight="1">
      <c r="A29" s="93" t="s">
        <v>1180</v>
      </c>
      <c r="B29" s="94" t="s">
        <v>1181</v>
      </c>
      <c r="C29" s="95">
        <v>17000000</v>
      </c>
      <c r="D29" s="96">
        <f t="shared" si="0"/>
        <v>17000</v>
      </c>
      <c r="E29" s="96">
        <v>17000000</v>
      </c>
      <c r="F29" s="96">
        <f t="shared" si="1"/>
        <v>17000</v>
      </c>
      <c r="G29" s="96">
        <v>14999468</v>
      </c>
      <c r="H29" s="97">
        <f t="shared" si="2"/>
        <v>14999.468000000001</v>
      </c>
      <c r="I29" s="98">
        <f t="shared" si="3"/>
        <v>0.88232164705882354</v>
      </c>
    </row>
    <row r="30" spans="1:9" ht="21.75" customHeight="1" thickBot="1">
      <c r="A30" s="93" t="s">
        <v>1182</v>
      </c>
      <c r="B30" s="94" t="s">
        <v>1183</v>
      </c>
      <c r="C30" s="95">
        <v>0</v>
      </c>
      <c r="D30" s="96">
        <f t="shared" si="0"/>
        <v>0</v>
      </c>
      <c r="E30" s="96">
        <v>0</v>
      </c>
      <c r="F30" s="96">
        <f t="shared" si="1"/>
        <v>0</v>
      </c>
      <c r="G30" s="96">
        <v>505452</v>
      </c>
      <c r="H30" s="97">
        <f t="shared" si="2"/>
        <v>505.452</v>
      </c>
      <c r="I30" s="98" t="s">
        <v>1147</v>
      </c>
    </row>
    <row r="31" spans="1:9" ht="14.4" customHeight="1" thickBot="1">
      <c r="A31" s="875" t="s">
        <v>1184</v>
      </c>
      <c r="B31" s="876"/>
      <c r="C31" s="105">
        <f>SUM(C14:C30)</f>
        <v>61515000</v>
      </c>
      <c r="D31" s="105">
        <f>SUM(D12:D30)</f>
        <v>61515</v>
      </c>
      <c r="E31" s="105">
        <f>SUM(E14:E30)</f>
        <v>118624132.52000001</v>
      </c>
      <c r="F31" s="105">
        <f>SUM(F12:F30)</f>
        <v>118624.13252000001</v>
      </c>
      <c r="G31" s="105">
        <f>SUM(G14:G30)</f>
        <v>121724243.98000002</v>
      </c>
      <c r="H31" s="105">
        <f>SUM(H12:H30)</f>
        <v>121959.41892000001</v>
      </c>
      <c r="I31" s="106">
        <f>H31/F31</f>
        <v>1.0281164239446612</v>
      </c>
    </row>
    <row r="32" spans="1:9" ht="14.4" customHeight="1">
      <c r="A32" s="93" t="s">
        <v>1185</v>
      </c>
      <c r="B32" s="94" t="s">
        <v>1186</v>
      </c>
      <c r="C32" s="95">
        <v>1500000</v>
      </c>
      <c r="D32" s="96">
        <f t="shared" si="0"/>
        <v>1500</v>
      </c>
      <c r="E32" s="96">
        <v>1500000</v>
      </c>
      <c r="F32" s="96">
        <f t="shared" si="1"/>
        <v>1500</v>
      </c>
      <c r="G32" s="96">
        <v>312200</v>
      </c>
      <c r="H32" s="97">
        <f t="shared" si="2"/>
        <v>312.2</v>
      </c>
      <c r="I32" s="98">
        <f t="shared" si="3"/>
        <v>0.20813333333333334</v>
      </c>
    </row>
    <row r="33" spans="1:9" ht="14.4" customHeight="1">
      <c r="A33" s="93" t="s">
        <v>1187</v>
      </c>
      <c r="B33" s="94" t="s">
        <v>1188</v>
      </c>
      <c r="C33" s="95">
        <v>3500000</v>
      </c>
      <c r="D33" s="96">
        <f t="shared" si="0"/>
        <v>3500</v>
      </c>
      <c r="E33" s="96">
        <v>18500000</v>
      </c>
      <c r="F33" s="96">
        <f t="shared" si="1"/>
        <v>18500</v>
      </c>
      <c r="G33" s="96">
        <v>20884049</v>
      </c>
      <c r="H33" s="97">
        <f t="shared" si="2"/>
        <v>20884.048999999999</v>
      </c>
      <c r="I33" s="98">
        <f t="shared" si="3"/>
        <v>1.1288675135135136</v>
      </c>
    </row>
    <row r="34" spans="1:9" ht="14.4" customHeight="1" thickBot="1">
      <c r="A34" s="93" t="s">
        <v>1189</v>
      </c>
      <c r="B34" s="94" t="s">
        <v>1190</v>
      </c>
      <c r="C34" s="95">
        <v>0</v>
      </c>
      <c r="D34" s="96">
        <f t="shared" si="0"/>
        <v>0</v>
      </c>
      <c r="E34" s="96">
        <v>0</v>
      </c>
      <c r="F34" s="96">
        <f t="shared" si="1"/>
        <v>0</v>
      </c>
      <c r="G34" s="96">
        <v>187800</v>
      </c>
      <c r="H34" s="97">
        <f t="shared" si="2"/>
        <v>187.8</v>
      </c>
      <c r="I34" s="98" t="s">
        <v>1147</v>
      </c>
    </row>
    <row r="35" spans="1:9" ht="14.4" customHeight="1" thickBot="1">
      <c r="A35" s="875" t="s">
        <v>1191</v>
      </c>
      <c r="B35" s="876"/>
      <c r="C35" s="105">
        <f>SUM(C31:C34)</f>
        <v>66515000</v>
      </c>
      <c r="D35" s="105">
        <f>SUM(D32:D34)</f>
        <v>5000</v>
      </c>
      <c r="E35" s="105">
        <f>SUM(E31:E34)</f>
        <v>138624132.52000001</v>
      </c>
      <c r="F35" s="105">
        <f>SUM(F32:F34)</f>
        <v>20000</v>
      </c>
      <c r="G35" s="105">
        <f>SUM(G31:G34)</f>
        <v>143108292.98000002</v>
      </c>
      <c r="H35" s="105">
        <f>SUM(H32:H34)</f>
        <v>21384.048999999999</v>
      </c>
      <c r="I35" s="106">
        <f>H35/F35</f>
        <v>1.0692024499999999</v>
      </c>
    </row>
    <row r="36" spans="1:9" ht="20.25" customHeight="1">
      <c r="A36" s="93" t="s">
        <v>1192</v>
      </c>
      <c r="B36" s="94" t="s">
        <v>1193</v>
      </c>
      <c r="C36" s="95">
        <v>0</v>
      </c>
      <c r="D36" s="96">
        <f t="shared" si="0"/>
        <v>0</v>
      </c>
      <c r="E36" s="96">
        <v>5390616.1500000004</v>
      </c>
      <c r="F36" s="96">
        <f t="shared" si="1"/>
        <v>5390.6161500000007</v>
      </c>
      <c r="G36" s="96">
        <v>5390616.1500000004</v>
      </c>
      <c r="H36" s="97">
        <f t="shared" si="2"/>
        <v>5390.6161500000007</v>
      </c>
      <c r="I36" s="98">
        <f t="shared" si="3"/>
        <v>1</v>
      </c>
    </row>
    <row r="37" spans="1:9" ht="21" customHeight="1">
      <c r="A37" s="93" t="s">
        <v>1194</v>
      </c>
      <c r="B37" s="94" t="s">
        <v>1195</v>
      </c>
      <c r="C37" s="95">
        <v>79293000</v>
      </c>
      <c r="D37" s="96">
        <f t="shared" si="0"/>
        <v>79293</v>
      </c>
      <c r="E37" s="96">
        <v>79293000</v>
      </c>
      <c r="F37" s="96">
        <f t="shared" si="1"/>
        <v>79293</v>
      </c>
      <c r="G37" s="96">
        <v>79293000</v>
      </c>
      <c r="H37" s="97">
        <f t="shared" si="2"/>
        <v>79293</v>
      </c>
      <c r="I37" s="98">
        <f t="shared" si="3"/>
        <v>1</v>
      </c>
    </row>
    <row r="38" spans="1:9" ht="14.4" customHeight="1">
      <c r="A38" s="93" t="s">
        <v>1196</v>
      </c>
      <c r="B38" s="94" t="s">
        <v>1197</v>
      </c>
      <c r="C38" s="95">
        <v>0</v>
      </c>
      <c r="D38" s="96">
        <f t="shared" si="0"/>
        <v>0</v>
      </c>
      <c r="E38" s="96">
        <v>295640.90999999997</v>
      </c>
      <c r="F38" s="96">
        <f t="shared" si="1"/>
        <v>295.64090999999996</v>
      </c>
      <c r="G38" s="96">
        <v>295640.90999999997</v>
      </c>
      <c r="H38" s="97">
        <f t="shared" si="2"/>
        <v>295.64090999999996</v>
      </c>
      <c r="I38" s="98">
        <f t="shared" si="3"/>
        <v>1</v>
      </c>
    </row>
    <row r="39" spans="1:9" ht="14.4" customHeight="1">
      <c r="A39" s="93" t="s">
        <v>1198</v>
      </c>
      <c r="B39" s="94" t="s">
        <v>1199</v>
      </c>
      <c r="C39" s="95">
        <v>0</v>
      </c>
      <c r="D39" s="96">
        <f t="shared" si="0"/>
        <v>0</v>
      </c>
      <c r="E39" s="96">
        <v>4361138973</v>
      </c>
      <c r="F39" s="96">
        <f t="shared" si="1"/>
        <v>4361138.9730000002</v>
      </c>
      <c r="G39" s="96">
        <v>4361092637</v>
      </c>
      <c r="H39" s="97">
        <f t="shared" si="2"/>
        <v>4361092.6370000001</v>
      </c>
      <c r="I39" s="98">
        <f t="shared" si="3"/>
        <v>0.99998937525259179</v>
      </c>
    </row>
    <row r="40" spans="1:9" ht="14.4" customHeight="1">
      <c r="A40" s="93" t="s">
        <v>1200</v>
      </c>
      <c r="B40" s="94" t="s">
        <v>1201</v>
      </c>
      <c r="C40" s="95">
        <v>0</v>
      </c>
      <c r="D40" s="96">
        <f t="shared" si="0"/>
        <v>0</v>
      </c>
      <c r="E40" s="96">
        <v>7959757.8499999996</v>
      </c>
      <c r="F40" s="96">
        <f t="shared" si="1"/>
        <v>7959.75785</v>
      </c>
      <c r="G40" s="96">
        <v>7959757.8499999996</v>
      </c>
      <c r="H40" s="97">
        <f t="shared" si="2"/>
        <v>7959.75785</v>
      </c>
      <c r="I40" s="98">
        <f t="shared" si="3"/>
        <v>1</v>
      </c>
    </row>
    <row r="41" spans="1:9" ht="14.4" customHeight="1">
      <c r="A41" s="93" t="s">
        <v>1202</v>
      </c>
      <c r="B41" s="94" t="s">
        <v>1203</v>
      </c>
      <c r="C41" s="95">
        <v>0</v>
      </c>
      <c r="D41" s="96">
        <f t="shared" si="0"/>
        <v>0</v>
      </c>
      <c r="E41" s="96">
        <v>3000000</v>
      </c>
      <c r="F41" s="96">
        <f t="shared" si="1"/>
        <v>3000</v>
      </c>
      <c r="G41" s="96">
        <v>3000000</v>
      </c>
      <c r="H41" s="97">
        <f t="shared" si="2"/>
        <v>3000</v>
      </c>
      <c r="I41" s="98">
        <f t="shared" si="3"/>
        <v>1</v>
      </c>
    </row>
    <row r="42" spans="1:9" ht="14.4" customHeight="1">
      <c r="A42" s="93" t="s">
        <v>1204</v>
      </c>
      <c r="B42" s="94" t="s">
        <v>1205</v>
      </c>
      <c r="C42" s="95">
        <v>0</v>
      </c>
      <c r="D42" s="96">
        <f t="shared" si="0"/>
        <v>0</v>
      </c>
      <c r="E42" s="96">
        <v>7282392.1899999995</v>
      </c>
      <c r="F42" s="96">
        <f t="shared" si="1"/>
        <v>7282.3921899999996</v>
      </c>
      <c r="G42" s="96">
        <v>7282392.1899999995</v>
      </c>
      <c r="H42" s="97">
        <f t="shared" si="2"/>
        <v>7282.3921899999996</v>
      </c>
      <c r="I42" s="98">
        <f t="shared" si="3"/>
        <v>1</v>
      </c>
    </row>
    <row r="43" spans="1:9" ht="21" customHeight="1">
      <c r="A43" s="93" t="s">
        <v>1206</v>
      </c>
      <c r="B43" s="94" t="s">
        <v>1207</v>
      </c>
      <c r="C43" s="95">
        <v>0</v>
      </c>
      <c r="D43" s="96">
        <f t="shared" si="0"/>
        <v>0</v>
      </c>
      <c r="E43" s="96">
        <v>3392764</v>
      </c>
      <c r="F43" s="96">
        <f t="shared" si="1"/>
        <v>3392.7640000000001</v>
      </c>
      <c r="G43" s="96">
        <v>3392764</v>
      </c>
      <c r="H43" s="97">
        <f t="shared" si="2"/>
        <v>3392.7640000000001</v>
      </c>
      <c r="I43" s="98">
        <f t="shared" si="3"/>
        <v>1</v>
      </c>
    </row>
    <row r="44" spans="1:9" ht="14.4" customHeight="1">
      <c r="A44" s="93" t="s">
        <v>1208</v>
      </c>
      <c r="B44" s="94" t="s">
        <v>1209</v>
      </c>
      <c r="C44" s="95">
        <v>0</v>
      </c>
      <c r="D44" s="96">
        <f t="shared" si="0"/>
        <v>0</v>
      </c>
      <c r="E44" s="96">
        <v>30997132.890000001</v>
      </c>
      <c r="F44" s="96">
        <f t="shared" si="1"/>
        <v>30997.132890000001</v>
      </c>
      <c r="G44" s="96">
        <v>28412081.75</v>
      </c>
      <c r="H44" s="97">
        <f t="shared" si="2"/>
        <v>28412.081750000001</v>
      </c>
      <c r="I44" s="98">
        <f t="shared" si="3"/>
        <v>0.91660354042505765</v>
      </c>
    </row>
    <row r="45" spans="1:9" ht="14.4" customHeight="1">
      <c r="A45" s="93" t="s">
        <v>1210</v>
      </c>
      <c r="B45" s="94" t="s">
        <v>1211</v>
      </c>
      <c r="C45" s="95">
        <v>0</v>
      </c>
      <c r="D45" s="96">
        <f t="shared" si="0"/>
        <v>0</v>
      </c>
      <c r="E45" s="96">
        <v>2102580.87</v>
      </c>
      <c r="F45" s="96">
        <f t="shared" si="1"/>
        <v>2102.5808700000002</v>
      </c>
      <c r="G45" s="96">
        <v>2102580.87</v>
      </c>
      <c r="H45" s="97">
        <f t="shared" si="2"/>
        <v>2102.5808700000002</v>
      </c>
      <c r="I45" s="98">
        <f t="shared" si="3"/>
        <v>1</v>
      </c>
    </row>
    <row r="46" spans="1:9" ht="14.4" customHeight="1" thickBot="1">
      <c r="A46" s="99" t="s">
        <v>1212</v>
      </c>
      <c r="B46" s="100" t="s">
        <v>1213</v>
      </c>
      <c r="C46" s="101">
        <v>0</v>
      </c>
      <c r="D46" s="102">
        <f t="shared" si="0"/>
        <v>0</v>
      </c>
      <c r="E46" s="102">
        <v>218831571.64000002</v>
      </c>
      <c r="F46" s="102">
        <f t="shared" si="1"/>
        <v>218831.57164000001</v>
      </c>
      <c r="G46" s="102">
        <v>218831571.64000002</v>
      </c>
      <c r="H46" s="103">
        <f t="shared" si="2"/>
        <v>218831.57164000001</v>
      </c>
      <c r="I46" s="104">
        <f t="shared" si="3"/>
        <v>1</v>
      </c>
    </row>
    <row r="47" spans="1:9" ht="14.4" customHeight="1" thickBot="1">
      <c r="A47" s="875" t="s">
        <v>1214</v>
      </c>
      <c r="B47" s="876"/>
      <c r="C47" s="105">
        <f>SUM(C34:C46)</f>
        <v>145808000</v>
      </c>
      <c r="D47" s="105">
        <f>SUM(D36:D46)</f>
        <v>79293</v>
      </c>
      <c r="E47" s="105">
        <f>SUM(E34:E46)</f>
        <v>4858308562.0200005</v>
      </c>
      <c r="F47" s="105">
        <f>SUM(F36:F46)</f>
        <v>4719684.4294999996</v>
      </c>
      <c r="G47" s="105">
        <f>SUM(G34:G46)</f>
        <v>4860349135.3400002</v>
      </c>
      <c r="H47" s="105">
        <f>SUM(H36:H46)</f>
        <v>4717053.0423599994</v>
      </c>
      <c r="I47" s="106">
        <f>H47/F47</f>
        <v>0.99944246544884374</v>
      </c>
    </row>
    <row r="48" spans="1:9" ht="14.4" customHeight="1" thickBot="1">
      <c r="A48" s="870" t="s">
        <v>1123</v>
      </c>
      <c r="B48" s="871"/>
      <c r="C48" s="113">
        <v>3419808000</v>
      </c>
      <c r="D48" s="114">
        <f>D47+D35+D31+D11</f>
        <v>3419808</v>
      </c>
      <c r="E48" s="113">
        <v>8223981602.0200005</v>
      </c>
      <c r="F48" s="113">
        <f>F47+F35+F31+F11</f>
        <v>8223981.6020200001</v>
      </c>
      <c r="G48" s="113">
        <v>8220594632.3900003</v>
      </c>
      <c r="H48" s="113">
        <f>H47+H35+H31+H11</f>
        <v>8220594.632389999</v>
      </c>
      <c r="I48" s="115">
        <f>H48/F48</f>
        <v>0.99958815938630396</v>
      </c>
    </row>
  </sheetData>
  <mergeCells count="7">
    <mergeCell ref="A48:B48"/>
    <mergeCell ref="A1:I1"/>
    <mergeCell ref="A3:B3"/>
    <mergeCell ref="A11:B11"/>
    <mergeCell ref="A31:B31"/>
    <mergeCell ref="A35:B35"/>
    <mergeCell ref="A47:B47"/>
  </mergeCells>
  <pageMargins left="0.78740157499999996" right="0.78740157499999996" top="0.984251969" bottom="0.984251969" header="0.4921259845" footer="0.4921259845"/>
  <pageSetup paperSize="9" scale="91" orientation="portrait" r:id="rId1"/>
  <headerFooter alignWithMargins="0">
    <oddHeader>&amp;LPříloha č. 4&amp;CZávěrečný účet Plzeňského kraje za rok 2010</oddHeader>
    <oddFooter>&amp;LKrajský úřad Plzeňského kraje
odbor ekonomický&amp;C&amp;P&amp;R&amp;D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X28"/>
  <sheetViews>
    <sheetView topLeftCell="A13" zoomScaleNormal="100" workbookViewId="0">
      <selection activeCell="M61" sqref="M61"/>
    </sheetView>
  </sheetViews>
  <sheetFormatPr defaultRowHeight="13.2"/>
  <cols>
    <col min="1" max="1" width="50.109375" style="118" customWidth="1"/>
    <col min="2" max="2" width="11" style="118" customWidth="1"/>
    <col min="3" max="3" width="11.109375" style="118" customWidth="1"/>
    <col min="4" max="4" width="17.6640625" style="118" hidden="1" customWidth="1"/>
    <col min="5" max="5" width="9.6640625" style="118" customWidth="1"/>
    <col min="6" max="6" width="13.44140625" style="118" hidden="1" customWidth="1"/>
    <col min="7" max="7" width="9.5546875" style="118" customWidth="1"/>
    <col min="8" max="8" width="13.44140625" style="118" hidden="1" customWidth="1"/>
    <col min="9" max="9" width="9.5546875" style="118" customWidth="1"/>
    <col min="10" max="10" width="13.44140625" style="118" hidden="1" customWidth="1"/>
    <col min="11" max="11" width="9.5546875" style="118" customWidth="1"/>
    <col min="12" max="12" width="13.44140625" style="118" hidden="1" customWidth="1"/>
    <col min="13" max="13" width="9.88671875" style="118" customWidth="1"/>
    <col min="14" max="14" width="17.6640625" style="118" hidden="1" customWidth="1"/>
    <col min="15" max="15" width="9.5546875" style="118" customWidth="1"/>
    <col min="16" max="16" width="17.6640625" style="118" hidden="1" customWidth="1"/>
    <col min="17" max="17" width="13.109375" style="118" customWidth="1"/>
    <col min="18" max="18" width="12" style="118" customWidth="1"/>
    <col min="19" max="19" width="12.5546875" style="118" customWidth="1"/>
    <col min="20" max="23" width="17.6640625" style="118" customWidth="1"/>
    <col min="24" max="24" width="13.109375" style="118" customWidth="1"/>
    <col min="25" max="256" width="9.109375" style="118"/>
    <col min="257" max="257" width="50.109375" style="118" customWidth="1"/>
    <col min="258" max="258" width="11" style="118" customWidth="1"/>
    <col min="259" max="259" width="11.109375" style="118" customWidth="1"/>
    <col min="260" max="260" width="0" style="118" hidden="1" customWidth="1"/>
    <col min="261" max="261" width="9.6640625" style="118" customWidth="1"/>
    <col min="262" max="262" width="0" style="118" hidden="1" customWidth="1"/>
    <col min="263" max="263" width="9.5546875" style="118" customWidth="1"/>
    <col min="264" max="264" width="0" style="118" hidden="1" customWidth="1"/>
    <col min="265" max="265" width="9.5546875" style="118" customWidth="1"/>
    <col min="266" max="266" width="0" style="118" hidden="1" customWidth="1"/>
    <col min="267" max="267" width="9.5546875" style="118" customWidth="1"/>
    <col min="268" max="268" width="0" style="118" hidden="1" customWidth="1"/>
    <col min="269" max="269" width="9.88671875" style="118" customWidth="1"/>
    <col min="270" max="270" width="0" style="118" hidden="1" customWidth="1"/>
    <col min="271" max="271" width="9.5546875" style="118" customWidth="1"/>
    <col min="272" max="272" width="0" style="118" hidden="1" customWidth="1"/>
    <col min="273" max="273" width="13.109375" style="118" customWidth="1"/>
    <col min="274" max="274" width="12" style="118" customWidth="1"/>
    <col min="275" max="275" width="12.5546875" style="118" customWidth="1"/>
    <col min="276" max="279" width="17.6640625" style="118" customWidth="1"/>
    <col min="280" max="280" width="13.109375" style="118" customWidth="1"/>
    <col min="281" max="512" width="9.109375" style="118"/>
    <col min="513" max="513" width="50.109375" style="118" customWidth="1"/>
    <col min="514" max="514" width="11" style="118" customWidth="1"/>
    <col min="515" max="515" width="11.109375" style="118" customWidth="1"/>
    <col min="516" max="516" width="0" style="118" hidden="1" customWidth="1"/>
    <col min="517" max="517" width="9.6640625" style="118" customWidth="1"/>
    <col min="518" max="518" width="0" style="118" hidden="1" customWidth="1"/>
    <col min="519" max="519" width="9.5546875" style="118" customWidth="1"/>
    <col min="520" max="520" width="0" style="118" hidden="1" customWidth="1"/>
    <col min="521" max="521" width="9.5546875" style="118" customWidth="1"/>
    <col min="522" max="522" width="0" style="118" hidden="1" customWidth="1"/>
    <col min="523" max="523" width="9.5546875" style="118" customWidth="1"/>
    <col min="524" max="524" width="0" style="118" hidden="1" customWidth="1"/>
    <col min="525" max="525" width="9.88671875" style="118" customWidth="1"/>
    <col min="526" max="526" width="0" style="118" hidden="1" customWidth="1"/>
    <col min="527" max="527" width="9.5546875" style="118" customWidth="1"/>
    <col min="528" max="528" width="0" style="118" hidden="1" customWidth="1"/>
    <col min="529" max="529" width="13.109375" style="118" customWidth="1"/>
    <col min="530" max="530" width="12" style="118" customWidth="1"/>
    <col min="531" max="531" width="12.5546875" style="118" customWidth="1"/>
    <col min="532" max="535" width="17.6640625" style="118" customWidth="1"/>
    <col min="536" max="536" width="13.109375" style="118" customWidth="1"/>
    <col min="537" max="768" width="9.109375" style="118"/>
    <col min="769" max="769" width="50.109375" style="118" customWidth="1"/>
    <col min="770" max="770" width="11" style="118" customWidth="1"/>
    <col min="771" max="771" width="11.109375" style="118" customWidth="1"/>
    <col min="772" max="772" width="0" style="118" hidden="1" customWidth="1"/>
    <col min="773" max="773" width="9.6640625" style="118" customWidth="1"/>
    <col min="774" max="774" width="0" style="118" hidden="1" customWidth="1"/>
    <col min="775" max="775" width="9.5546875" style="118" customWidth="1"/>
    <col min="776" max="776" width="0" style="118" hidden="1" customWidth="1"/>
    <col min="777" max="777" width="9.5546875" style="118" customWidth="1"/>
    <col min="778" max="778" width="0" style="118" hidden="1" customWidth="1"/>
    <col min="779" max="779" width="9.5546875" style="118" customWidth="1"/>
    <col min="780" max="780" width="0" style="118" hidden="1" customWidth="1"/>
    <col min="781" max="781" width="9.88671875" style="118" customWidth="1"/>
    <col min="782" max="782" width="0" style="118" hidden="1" customWidth="1"/>
    <col min="783" max="783" width="9.5546875" style="118" customWidth="1"/>
    <col min="784" max="784" width="0" style="118" hidden="1" customWidth="1"/>
    <col min="785" max="785" width="13.109375" style="118" customWidth="1"/>
    <col min="786" max="786" width="12" style="118" customWidth="1"/>
    <col min="787" max="787" width="12.5546875" style="118" customWidth="1"/>
    <col min="788" max="791" width="17.6640625" style="118" customWidth="1"/>
    <col min="792" max="792" width="13.109375" style="118" customWidth="1"/>
    <col min="793" max="1024" width="9.109375" style="118"/>
    <col min="1025" max="1025" width="50.109375" style="118" customWidth="1"/>
    <col min="1026" max="1026" width="11" style="118" customWidth="1"/>
    <col min="1027" max="1027" width="11.109375" style="118" customWidth="1"/>
    <col min="1028" max="1028" width="0" style="118" hidden="1" customWidth="1"/>
    <col min="1029" max="1029" width="9.6640625" style="118" customWidth="1"/>
    <col min="1030" max="1030" width="0" style="118" hidden="1" customWidth="1"/>
    <col min="1031" max="1031" width="9.5546875" style="118" customWidth="1"/>
    <col min="1032" max="1032" width="0" style="118" hidden="1" customWidth="1"/>
    <col min="1033" max="1033" width="9.5546875" style="118" customWidth="1"/>
    <col min="1034" max="1034" width="0" style="118" hidden="1" customWidth="1"/>
    <col min="1035" max="1035" width="9.5546875" style="118" customWidth="1"/>
    <col min="1036" max="1036" width="0" style="118" hidden="1" customWidth="1"/>
    <col min="1037" max="1037" width="9.88671875" style="118" customWidth="1"/>
    <col min="1038" max="1038" width="0" style="118" hidden="1" customWidth="1"/>
    <col min="1039" max="1039" width="9.5546875" style="118" customWidth="1"/>
    <col min="1040" max="1040" width="0" style="118" hidden="1" customWidth="1"/>
    <col min="1041" max="1041" width="13.109375" style="118" customWidth="1"/>
    <col min="1042" max="1042" width="12" style="118" customWidth="1"/>
    <col min="1043" max="1043" width="12.5546875" style="118" customWidth="1"/>
    <col min="1044" max="1047" width="17.6640625" style="118" customWidth="1"/>
    <col min="1048" max="1048" width="13.109375" style="118" customWidth="1"/>
    <col min="1049" max="1280" width="9.109375" style="118"/>
    <col min="1281" max="1281" width="50.109375" style="118" customWidth="1"/>
    <col min="1282" max="1282" width="11" style="118" customWidth="1"/>
    <col min="1283" max="1283" width="11.109375" style="118" customWidth="1"/>
    <col min="1284" max="1284" width="0" style="118" hidden="1" customWidth="1"/>
    <col min="1285" max="1285" width="9.6640625" style="118" customWidth="1"/>
    <col min="1286" max="1286" width="0" style="118" hidden="1" customWidth="1"/>
    <col min="1287" max="1287" width="9.5546875" style="118" customWidth="1"/>
    <col min="1288" max="1288" width="0" style="118" hidden="1" customWidth="1"/>
    <col min="1289" max="1289" width="9.5546875" style="118" customWidth="1"/>
    <col min="1290" max="1290" width="0" style="118" hidden="1" customWidth="1"/>
    <col min="1291" max="1291" width="9.5546875" style="118" customWidth="1"/>
    <col min="1292" max="1292" width="0" style="118" hidden="1" customWidth="1"/>
    <col min="1293" max="1293" width="9.88671875" style="118" customWidth="1"/>
    <col min="1294" max="1294" width="0" style="118" hidden="1" customWidth="1"/>
    <col min="1295" max="1295" width="9.5546875" style="118" customWidth="1"/>
    <col min="1296" max="1296" width="0" style="118" hidden="1" customWidth="1"/>
    <col min="1297" max="1297" width="13.109375" style="118" customWidth="1"/>
    <col min="1298" max="1298" width="12" style="118" customWidth="1"/>
    <col min="1299" max="1299" width="12.5546875" style="118" customWidth="1"/>
    <col min="1300" max="1303" width="17.6640625" style="118" customWidth="1"/>
    <col min="1304" max="1304" width="13.109375" style="118" customWidth="1"/>
    <col min="1305" max="1536" width="9.109375" style="118"/>
    <col min="1537" max="1537" width="50.109375" style="118" customWidth="1"/>
    <col min="1538" max="1538" width="11" style="118" customWidth="1"/>
    <col min="1539" max="1539" width="11.109375" style="118" customWidth="1"/>
    <col min="1540" max="1540" width="0" style="118" hidden="1" customWidth="1"/>
    <col min="1541" max="1541" width="9.6640625" style="118" customWidth="1"/>
    <col min="1542" max="1542" width="0" style="118" hidden="1" customWidth="1"/>
    <col min="1543" max="1543" width="9.5546875" style="118" customWidth="1"/>
    <col min="1544" max="1544" width="0" style="118" hidden="1" customWidth="1"/>
    <col min="1545" max="1545" width="9.5546875" style="118" customWidth="1"/>
    <col min="1546" max="1546" width="0" style="118" hidden="1" customWidth="1"/>
    <col min="1547" max="1547" width="9.5546875" style="118" customWidth="1"/>
    <col min="1548" max="1548" width="0" style="118" hidden="1" customWidth="1"/>
    <col min="1549" max="1549" width="9.88671875" style="118" customWidth="1"/>
    <col min="1550" max="1550" width="0" style="118" hidden="1" customWidth="1"/>
    <col min="1551" max="1551" width="9.5546875" style="118" customWidth="1"/>
    <col min="1552" max="1552" width="0" style="118" hidden="1" customWidth="1"/>
    <col min="1553" max="1553" width="13.109375" style="118" customWidth="1"/>
    <col min="1554" max="1554" width="12" style="118" customWidth="1"/>
    <col min="1555" max="1555" width="12.5546875" style="118" customWidth="1"/>
    <col min="1556" max="1559" width="17.6640625" style="118" customWidth="1"/>
    <col min="1560" max="1560" width="13.109375" style="118" customWidth="1"/>
    <col min="1561" max="1792" width="9.109375" style="118"/>
    <col min="1793" max="1793" width="50.109375" style="118" customWidth="1"/>
    <col min="1794" max="1794" width="11" style="118" customWidth="1"/>
    <col min="1795" max="1795" width="11.109375" style="118" customWidth="1"/>
    <col min="1796" max="1796" width="0" style="118" hidden="1" customWidth="1"/>
    <col min="1797" max="1797" width="9.6640625" style="118" customWidth="1"/>
    <col min="1798" max="1798" width="0" style="118" hidden="1" customWidth="1"/>
    <col min="1799" max="1799" width="9.5546875" style="118" customWidth="1"/>
    <col min="1800" max="1800" width="0" style="118" hidden="1" customWidth="1"/>
    <col min="1801" max="1801" width="9.5546875" style="118" customWidth="1"/>
    <col min="1802" max="1802" width="0" style="118" hidden="1" customWidth="1"/>
    <col min="1803" max="1803" width="9.5546875" style="118" customWidth="1"/>
    <col min="1804" max="1804" width="0" style="118" hidden="1" customWidth="1"/>
    <col min="1805" max="1805" width="9.88671875" style="118" customWidth="1"/>
    <col min="1806" max="1806" width="0" style="118" hidden="1" customWidth="1"/>
    <col min="1807" max="1807" width="9.5546875" style="118" customWidth="1"/>
    <col min="1808" max="1808" width="0" style="118" hidden="1" customWidth="1"/>
    <col min="1809" max="1809" width="13.109375" style="118" customWidth="1"/>
    <col min="1810" max="1810" width="12" style="118" customWidth="1"/>
    <col min="1811" max="1811" width="12.5546875" style="118" customWidth="1"/>
    <col min="1812" max="1815" width="17.6640625" style="118" customWidth="1"/>
    <col min="1816" max="1816" width="13.109375" style="118" customWidth="1"/>
    <col min="1817" max="2048" width="9.109375" style="118"/>
    <col min="2049" max="2049" width="50.109375" style="118" customWidth="1"/>
    <col min="2050" max="2050" width="11" style="118" customWidth="1"/>
    <col min="2051" max="2051" width="11.109375" style="118" customWidth="1"/>
    <col min="2052" max="2052" width="0" style="118" hidden="1" customWidth="1"/>
    <col min="2053" max="2053" width="9.6640625" style="118" customWidth="1"/>
    <col min="2054" max="2054" width="0" style="118" hidden="1" customWidth="1"/>
    <col min="2055" max="2055" width="9.5546875" style="118" customWidth="1"/>
    <col min="2056" max="2056" width="0" style="118" hidden="1" customWidth="1"/>
    <col min="2057" max="2057" width="9.5546875" style="118" customWidth="1"/>
    <col min="2058" max="2058" width="0" style="118" hidden="1" customWidth="1"/>
    <col min="2059" max="2059" width="9.5546875" style="118" customWidth="1"/>
    <col min="2060" max="2060" width="0" style="118" hidden="1" customWidth="1"/>
    <col min="2061" max="2061" width="9.88671875" style="118" customWidth="1"/>
    <col min="2062" max="2062" width="0" style="118" hidden="1" customWidth="1"/>
    <col min="2063" max="2063" width="9.5546875" style="118" customWidth="1"/>
    <col min="2064" max="2064" width="0" style="118" hidden="1" customWidth="1"/>
    <col min="2065" max="2065" width="13.109375" style="118" customWidth="1"/>
    <col min="2066" max="2066" width="12" style="118" customWidth="1"/>
    <col min="2067" max="2067" width="12.5546875" style="118" customWidth="1"/>
    <col min="2068" max="2071" width="17.6640625" style="118" customWidth="1"/>
    <col min="2072" max="2072" width="13.109375" style="118" customWidth="1"/>
    <col min="2073" max="2304" width="9.109375" style="118"/>
    <col min="2305" max="2305" width="50.109375" style="118" customWidth="1"/>
    <col min="2306" max="2306" width="11" style="118" customWidth="1"/>
    <col min="2307" max="2307" width="11.109375" style="118" customWidth="1"/>
    <col min="2308" max="2308" width="0" style="118" hidden="1" customWidth="1"/>
    <col min="2309" max="2309" width="9.6640625" style="118" customWidth="1"/>
    <col min="2310" max="2310" width="0" style="118" hidden="1" customWidth="1"/>
    <col min="2311" max="2311" width="9.5546875" style="118" customWidth="1"/>
    <col min="2312" max="2312" width="0" style="118" hidden="1" customWidth="1"/>
    <col min="2313" max="2313" width="9.5546875" style="118" customWidth="1"/>
    <col min="2314" max="2314" width="0" style="118" hidden="1" customWidth="1"/>
    <col min="2315" max="2315" width="9.5546875" style="118" customWidth="1"/>
    <col min="2316" max="2316" width="0" style="118" hidden="1" customWidth="1"/>
    <col min="2317" max="2317" width="9.88671875" style="118" customWidth="1"/>
    <col min="2318" max="2318" width="0" style="118" hidden="1" customWidth="1"/>
    <col min="2319" max="2319" width="9.5546875" style="118" customWidth="1"/>
    <col min="2320" max="2320" width="0" style="118" hidden="1" customWidth="1"/>
    <col min="2321" max="2321" width="13.109375" style="118" customWidth="1"/>
    <col min="2322" max="2322" width="12" style="118" customWidth="1"/>
    <col min="2323" max="2323" width="12.5546875" style="118" customWidth="1"/>
    <col min="2324" max="2327" width="17.6640625" style="118" customWidth="1"/>
    <col min="2328" max="2328" width="13.109375" style="118" customWidth="1"/>
    <col min="2329" max="2560" width="9.109375" style="118"/>
    <col min="2561" max="2561" width="50.109375" style="118" customWidth="1"/>
    <col min="2562" max="2562" width="11" style="118" customWidth="1"/>
    <col min="2563" max="2563" width="11.109375" style="118" customWidth="1"/>
    <col min="2564" max="2564" width="0" style="118" hidden="1" customWidth="1"/>
    <col min="2565" max="2565" width="9.6640625" style="118" customWidth="1"/>
    <col min="2566" max="2566" width="0" style="118" hidden="1" customWidth="1"/>
    <col min="2567" max="2567" width="9.5546875" style="118" customWidth="1"/>
    <col min="2568" max="2568" width="0" style="118" hidden="1" customWidth="1"/>
    <col min="2569" max="2569" width="9.5546875" style="118" customWidth="1"/>
    <col min="2570" max="2570" width="0" style="118" hidden="1" customWidth="1"/>
    <col min="2571" max="2571" width="9.5546875" style="118" customWidth="1"/>
    <col min="2572" max="2572" width="0" style="118" hidden="1" customWidth="1"/>
    <col min="2573" max="2573" width="9.88671875" style="118" customWidth="1"/>
    <col min="2574" max="2574" width="0" style="118" hidden="1" customWidth="1"/>
    <col min="2575" max="2575" width="9.5546875" style="118" customWidth="1"/>
    <col min="2576" max="2576" width="0" style="118" hidden="1" customWidth="1"/>
    <col min="2577" max="2577" width="13.109375" style="118" customWidth="1"/>
    <col min="2578" max="2578" width="12" style="118" customWidth="1"/>
    <col min="2579" max="2579" width="12.5546875" style="118" customWidth="1"/>
    <col min="2580" max="2583" width="17.6640625" style="118" customWidth="1"/>
    <col min="2584" max="2584" width="13.109375" style="118" customWidth="1"/>
    <col min="2585" max="2816" width="9.109375" style="118"/>
    <col min="2817" max="2817" width="50.109375" style="118" customWidth="1"/>
    <col min="2818" max="2818" width="11" style="118" customWidth="1"/>
    <col min="2819" max="2819" width="11.109375" style="118" customWidth="1"/>
    <col min="2820" max="2820" width="0" style="118" hidden="1" customWidth="1"/>
    <col min="2821" max="2821" width="9.6640625" style="118" customWidth="1"/>
    <col min="2822" max="2822" width="0" style="118" hidden="1" customWidth="1"/>
    <col min="2823" max="2823" width="9.5546875" style="118" customWidth="1"/>
    <col min="2824" max="2824" width="0" style="118" hidden="1" customWidth="1"/>
    <col min="2825" max="2825" width="9.5546875" style="118" customWidth="1"/>
    <col min="2826" max="2826" width="0" style="118" hidden="1" customWidth="1"/>
    <col min="2827" max="2827" width="9.5546875" style="118" customWidth="1"/>
    <col min="2828" max="2828" width="0" style="118" hidden="1" customWidth="1"/>
    <col min="2829" max="2829" width="9.88671875" style="118" customWidth="1"/>
    <col min="2830" max="2830" width="0" style="118" hidden="1" customWidth="1"/>
    <col min="2831" max="2831" width="9.5546875" style="118" customWidth="1"/>
    <col min="2832" max="2832" width="0" style="118" hidden="1" customWidth="1"/>
    <col min="2833" max="2833" width="13.109375" style="118" customWidth="1"/>
    <col min="2834" max="2834" width="12" style="118" customWidth="1"/>
    <col min="2835" max="2835" width="12.5546875" style="118" customWidth="1"/>
    <col min="2836" max="2839" width="17.6640625" style="118" customWidth="1"/>
    <col min="2840" max="2840" width="13.109375" style="118" customWidth="1"/>
    <col min="2841" max="3072" width="9.109375" style="118"/>
    <col min="3073" max="3073" width="50.109375" style="118" customWidth="1"/>
    <col min="3074" max="3074" width="11" style="118" customWidth="1"/>
    <col min="3075" max="3075" width="11.109375" style="118" customWidth="1"/>
    <col min="3076" max="3076" width="0" style="118" hidden="1" customWidth="1"/>
    <col min="3077" max="3077" width="9.6640625" style="118" customWidth="1"/>
    <col min="3078" max="3078" width="0" style="118" hidden="1" customWidth="1"/>
    <col min="3079" max="3079" width="9.5546875" style="118" customWidth="1"/>
    <col min="3080" max="3080" width="0" style="118" hidden="1" customWidth="1"/>
    <col min="3081" max="3081" width="9.5546875" style="118" customWidth="1"/>
    <col min="3082" max="3082" width="0" style="118" hidden="1" customWidth="1"/>
    <col min="3083" max="3083" width="9.5546875" style="118" customWidth="1"/>
    <col min="3084" max="3084" width="0" style="118" hidden="1" customWidth="1"/>
    <col min="3085" max="3085" width="9.88671875" style="118" customWidth="1"/>
    <col min="3086" max="3086" width="0" style="118" hidden="1" customWidth="1"/>
    <col min="3087" max="3087" width="9.5546875" style="118" customWidth="1"/>
    <col min="3088" max="3088" width="0" style="118" hidden="1" customWidth="1"/>
    <col min="3089" max="3089" width="13.109375" style="118" customWidth="1"/>
    <col min="3090" max="3090" width="12" style="118" customWidth="1"/>
    <col min="3091" max="3091" width="12.5546875" style="118" customWidth="1"/>
    <col min="3092" max="3095" width="17.6640625" style="118" customWidth="1"/>
    <col min="3096" max="3096" width="13.109375" style="118" customWidth="1"/>
    <col min="3097" max="3328" width="9.109375" style="118"/>
    <col min="3329" max="3329" width="50.109375" style="118" customWidth="1"/>
    <col min="3330" max="3330" width="11" style="118" customWidth="1"/>
    <col min="3331" max="3331" width="11.109375" style="118" customWidth="1"/>
    <col min="3332" max="3332" width="0" style="118" hidden="1" customWidth="1"/>
    <col min="3333" max="3333" width="9.6640625" style="118" customWidth="1"/>
    <col min="3334" max="3334" width="0" style="118" hidden="1" customWidth="1"/>
    <col min="3335" max="3335" width="9.5546875" style="118" customWidth="1"/>
    <col min="3336" max="3336" width="0" style="118" hidden="1" customWidth="1"/>
    <col min="3337" max="3337" width="9.5546875" style="118" customWidth="1"/>
    <col min="3338" max="3338" width="0" style="118" hidden="1" customWidth="1"/>
    <col min="3339" max="3339" width="9.5546875" style="118" customWidth="1"/>
    <col min="3340" max="3340" width="0" style="118" hidden="1" customWidth="1"/>
    <col min="3341" max="3341" width="9.88671875" style="118" customWidth="1"/>
    <col min="3342" max="3342" width="0" style="118" hidden="1" customWidth="1"/>
    <col min="3343" max="3343" width="9.5546875" style="118" customWidth="1"/>
    <col min="3344" max="3344" width="0" style="118" hidden="1" customWidth="1"/>
    <col min="3345" max="3345" width="13.109375" style="118" customWidth="1"/>
    <col min="3346" max="3346" width="12" style="118" customWidth="1"/>
    <col min="3347" max="3347" width="12.5546875" style="118" customWidth="1"/>
    <col min="3348" max="3351" width="17.6640625" style="118" customWidth="1"/>
    <col min="3352" max="3352" width="13.109375" style="118" customWidth="1"/>
    <col min="3353" max="3584" width="9.109375" style="118"/>
    <col min="3585" max="3585" width="50.109375" style="118" customWidth="1"/>
    <col min="3586" max="3586" width="11" style="118" customWidth="1"/>
    <col min="3587" max="3587" width="11.109375" style="118" customWidth="1"/>
    <col min="3588" max="3588" width="0" style="118" hidden="1" customWidth="1"/>
    <col min="3589" max="3589" width="9.6640625" style="118" customWidth="1"/>
    <col min="3590" max="3590" width="0" style="118" hidden="1" customWidth="1"/>
    <col min="3591" max="3591" width="9.5546875" style="118" customWidth="1"/>
    <col min="3592" max="3592" width="0" style="118" hidden="1" customWidth="1"/>
    <col min="3593" max="3593" width="9.5546875" style="118" customWidth="1"/>
    <col min="3594" max="3594" width="0" style="118" hidden="1" customWidth="1"/>
    <col min="3595" max="3595" width="9.5546875" style="118" customWidth="1"/>
    <col min="3596" max="3596" width="0" style="118" hidden="1" customWidth="1"/>
    <col min="3597" max="3597" width="9.88671875" style="118" customWidth="1"/>
    <col min="3598" max="3598" width="0" style="118" hidden="1" customWidth="1"/>
    <col min="3599" max="3599" width="9.5546875" style="118" customWidth="1"/>
    <col min="3600" max="3600" width="0" style="118" hidden="1" customWidth="1"/>
    <col min="3601" max="3601" width="13.109375" style="118" customWidth="1"/>
    <col min="3602" max="3602" width="12" style="118" customWidth="1"/>
    <col min="3603" max="3603" width="12.5546875" style="118" customWidth="1"/>
    <col min="3604" max="3607" width="17.6640625" style="118" customWidth="1"/>
    <col min="3608" max="3608" width="13.109375" style="118" customWidth="1"/>
    <col min="3609" max="3840" width="9.109375" style="118"/>
    <col min="3841" max="3841" width="50.109375" style="118" customWidth="1"/>
    <col min="3842" max="3842" width="11" style="118" customWidth="1"/>
    <col min="3843" max="3843" width="11.109375" style="118" customWidth="1"/>
    <col min="3844" max="3844" width="0" style="118" hidden="1" customWidth="1"/>
    <col min="3845" max="3845" width="9.6640625" style="118" customWidth="1"/>
    <col min="3846" max="3846" width="0" style="118" hidden="1" customWidth="1"/>
    <col min="3847" max="3847" width="9.5546875" style="118" customWidth="1"/>
    <col min="3848" max="3848" width="0" style="118" hidden="1" customWidth="1"/>
    <col min="3849" max="3849" width="9.5546875" style="118" customWidth="1"/>
    <col min="3850" max="3850" width="0" style="118" hidden="1" customWidth="1"/>
    <col min="3851" max="3851" width="9.5546875" style="118" customWidth="1"/>
    <col min="3852" max="3852" width="0" style="118" hidden="1" customWidth="1"/>
    <col min="3853" max="3853" width="9.88671875" style="118" customWidth="1"/>
    <col min="3854" max="3854" width="0" style="118" hidden="1" customWidth="1"/>
    <col min="3855" max="3855" width="9.5546875" style="118" customWidth="1"/>
    <col min="3856" max="3856" width="0" style="118" hidden="1" customWidth="1"/>
    <col min="3857" max="3857" width="13.109375" style="118" customWidth="1"/>
    <col min="3858" max="3858" width="12" style="118" customWidth="1"/>
    <col min="3859" max="3859" width="12.5546875" style="118" customWidth="1"/>
    <col min="3860" max="3863" width="17.6640625" style="118" customWidth="1"/>
    <col min="3864" max="3864" width="13.109375" style="118" customWidth="1"/>
    <col min="3865" max="4096" width="9.109375" style="118"/>
    <col min="4097" max="4097" width="50.109375" style="118" customWidth="1"/>
    <col min="4098" max="4098" width="11" style="118" customWidth="1"/>
    <col min="4099" max="4099" width="11.109375" style="118" customWidth="1"/>
    <col min="4100" max="4100" width="0" style="118" hidden="1" customWidth="1"/>
    <col min="4101" max="4101" width="9.6640625" style="118" customWidth="1"/>
    <col min="4102" max="4102" width="0" style="118" hidden="1" customWidth="1"/>
    <col min="4103" max="4103" width="9.5546875" style="118" customWidth="1"/>
    <col min="4104" max="4104" width="0" style="118" hidden="1" customWidth="1"/>
    <col min="4105" max="4105" width="9.5546875" style="118" customWidth="1"/>
    <col min="4106" max="4106" width="0" style="118" hidden="1" customWidth="1"/>
    <col min="4107" max="4107" width="9.5546875" style="118" customWidth="1"/>
    <col min="4108" max="4108" width="0" style="118" hidden="1" customWidth="1"/>
    <col min="4109" max="4109" width="9.88671875" style="118" customWidth="1"/>
    <col min="4110" max="4110" width="0" style="118" hidden="1" customWidth="1"/>
    <col min="4111" max="4111" width="9.5546875" style="118" customWidth="1"/>
    <col min="4112" max="4112" width="0" style="118" hidden="1" customWidth="1"/>
    <col min="4113" max="4113" width="13.109375" style="118" customWidth="1"/>
    <col min="4114" max="4114" width="12" style="118" customWidth="1"/>
    <col min="4115" max="4115" width="12.5546875" style="118" customWidth="1"/>
    <col min="4116" max="4119" width="17.6640625" style="118" customWidth="1"/>
    <col min="4120" max="4120" width="13.109375" style="118" customWidth="1"/>
    <col min="4121" max="4352" width="9.109375" style="118"/>
    <col min="4353" max="4353" width="50.109375" style="118" customWidth="1"/>
    <col min="4354" max="4354" width="11" style="118" customWidth="1"/>
    <col min="4355" max="4355" width="11.109375" style="118" customWidth="1"/>
    <col min="4356" max="4356" width="0" style="118" hidden="1" customWidth="1"/>
    <col min="4357" max="4357" width="9.6640625" style="118" customWidth="1"/>
    <col min="4358" max="4358" width="0" style="118" hidden="1" customWidth="1"/>
    <col min="4359" max="4359" width="9.5546875" style="118" customWidth="1"/>
    <col min="4360" max="4360" width="0" style="118" hidden="1" customWidth="1"/>
    <col min="4361" max="4361" width="9.5546875" style="118" customWidth="1"/>
    <col min="4362" max="4362" width="0" style="118" hidden="1" customWidth="1"/>
    <col min="4363" max="4363" width="9.5546875" style="118" customWidth="1"/>
    <col min="4364" max="4364" width="0" style="118" hidden="1" customWidth="1"/>
    <col min="4365" max="4365" width="9.88671875" style="118" customWidth="1"/>
    <col min="4366" max="4366" width="0" style="118" hidden="1" customWidth="1"/>
    <col min="4367" max="4367" width="9.5546875" style="118" customWidth="1"/>
    <col min="4368" max="4368" width="0" style="118" hidden="1" customWidth="1"/>
    <col min="4369" max="4369" width="13.109375" style="118" customWidth="1"/>
    <col min="4370" max="4370" width="12" style="118" customWidth="1"/>
    <col min="4371" max="4371" width="12.5546875" style="118" customWidth="1"/>
    <col min="4372" max="4375" width="17.6640625" style="118" customWidth="1"/>
    <col min="4376" max="4376" width="13.109375" style="118" customWidth="1"/>
    <col min="4377" max="4608" width="9.109375" style="118"/>
    <col min="4609" max="4609" width="50.109375" style="118" customWidth="1"/>
    <col min="4610" max="4610" width="11" style="118" customWidth="1"/>
    <col min="4611" max="4611" width="11.109375" style="118" customWidth="1"/>
    <col min="4612" max="4612" width="0" style="118" hidden="1" customWidth="1"/>
    <col min="4613" max="4613" width="9.6640625" style="118" customWidth="1"/>
    <col min="4614" max="4614" width="0" style="118" hidden="1" customWidth="1"/>
    <col min="4615" max="4615" width="9.5546875" style="118" customWidth="1"/>
    <col min="4616" max="4616" width="0" style="118" hidden="1" customWidth="1"/>
    <col min="4617" max="4617" width="9.5546875" style="118" customWidth="1"/>
    <col min="4618" max="4618" width="0" style="118" hidden="1" customWidth="1"/>
    <col min="4619" max="4619" width="9.5546875" style="118" customWidth="1"/>
    <col min="4620" max="4620" width="0" style="118" hidden="1" customWidth="1"/>
    <col min="4621" max="4621" width="9.88671875" style="118" customWidth="1"/>
    <col min="4622" max="4622" width="0" style="118" hidden="1" customWidth="1"/>
    <col min="4623" max="4623" width="9.5546875" style="118" customWidth="1"/>
    <col min="4624" max="4624" width="0" style="118" hidden="1" customWidth="1"/>
    <col min="4625" max="4625" width="13.109375" style="118" customWidth="1"/>
    <col min="4626" max="4626" width="12" style="118" customWidth="1"/>
    <col min="4627" max="4627" width="12.5546875" style="118" customWidth="1"/>
    <col min="4628" max="4631" width="17.6640625" style="118" customWidth="1"/>
    <col min="4632" max="4632" width="13.109375" style="118" customWidth="1"/>
    <col min="4633" max="4864" width="9.109375" style="118"/>
    <col min="4865" max="4865" width="50.109375" style="118" customWidth="1"/>
    <col min="4866" max="4866" width="11" style="118" customWidth="1"/>
    <col min="4867" max="4867" width="11.109375" style="118" customWidth="1"/>
    <col min="4868" max="4868" width="0" style="118" hidden="1" customWidth="1"/>
    <col min="4869" max="4869" width="9.6640625" style="118" customWidth="1"/>
    <col min="4870" max="4870" width="0" style="118" hidden="1" customWidth="1"/>
    <col min="4871" max="4871" width="9.5546875" style="118" customWidth="1"/>
    <col min="4872" max="4872" width="0" style="118" hidden="1" customWidth="1"/>
    <col min="4873" max="4873" width="9.5546875" style="118" customWidth="1"/>
    <col min="4874" max="4874" width="0" style="118" hidden="1" customWidth="1"/>
    <col min="4875" max="4875" width="9.5546875" style="118" customWidth="1"/>
    <col min="4876" max="4876" width="0" style="118" hidden="1" customWidth="1"/>
    <col min="4877" max="4877" width="9.88671875" style="118" customWidth="1"/>
    <col min="4878" max="4878" width="0" style="118" hidden="1" customWidth="1"/>
    <col min="4879" max="4879" width="9.5546875" style="118" customWidth="1"/>
    <col min="4880" max="4880" width="0" style="118" hidden="1" customWidth="1"/>
    <col min="4881" max="4881" width="13.109375" style="118" customWidth="1"/>
    <col min="4882" max="4882" width="12" style="118" customWidth="1"/>
    <col min="4883" max="4883" width="12.5546875" style="118" customWidth="1"/>
    <col min="4884" max="4887" width="17.6640625" style="118" customWidth="1"/>
    <col min="4888" max="4888" width="13.109375" style="118" customWidth="1"/>
    <col min="4889" max="5120" width="9.109375" style="118"/>
    <col min="5121" max="5121" width="50.109375" style="118" customWidth="1"/>
    <col min="5122" max="5122" width="11" style="118" customWidth="1"/>
    <col min="5123" max="5123" width="11.109375" style="118" customWidth="1"/>
    <col min="5124" max="5124" width="0" style="118" hidden="1" customWidth="1"/>
    <col min="5125" max="5125" width="9.6640625" style="118" customWidth="1"/>
    <col min="5126" max="5126" width="0" style="118" hidden="1" customWidth="1"/>
    <col min="5127" max="5127" width="9.5546875" style="118" customWidth="1"/>
    <col min="5128" max="5128" width="0" style="118" hidden="1" customWidth="1"/>
    <col min="5129" max="5129" width="9.5546875" style="118" customWidth="1"/>
    <col min="5130" max="5130" width="0" style="118" hidden="1" customWidth="1"/>
    <col min="5131" max="5131" width="9.5546875" style="118" customWidth="1"/>
    <col min="5132" max="5132" width="0" style="118" hidden="1" customWidth="1"/>
    <col min="5133" max="5133" width="9.88671875" style="118" customWidth="1"/>
    <col min="5134" max="5134" width="0" style="118" hidden="1" customWidth="1"/>
    <col min="5135" max="5135" width="9.5546875" style="118" customWidth="1"/>
    <col min="5136" max="5136" width="0" style="118" hidden="1" customWidth="1"/>
    <col min="5137" max="5137" width="13.109375" style="118" customWidth="1"/>
    <col min="5138" max="5138" width="12" style="118" customWidth="1"/>
    <col min="5139" max="5139" width="12.5546875" style="118" customWidth="1"/>
    <col min="5140" max="5143" width="17.6640625" style="118" customWidth="1"/>
    <col min="5144" max="5144" width="13.109375" style="118" customWidth="1"/>
    <col min="5145" max="5376" width="9.109375" style="118"/>
    <col min="5377" max="5377" width="50.109375" style="118" customWidth="1"/>
    <col min="5378" max="5378" width="11" style="118" customWidth="1"/>
    <col min="5379" max="5379" width="11.109375" style="118" customWidth="1"/>
    <col min="5380" max="5380" width="0" style="118" hidden="1" customWidth="1"/>
    <col min="5381" max="5381" width="9.6640625" style="118" customWidth="1"/>
    <col min="5382" max="5382" width="0" style="118" hidden="1" customWidth="1"/>
    <col min="5383" max="5383" width="9.5546875" style="118" customWidth="1"/>
    <col min="5384" max="5384" width="0" style="118" hidden="1" customWidth="1"/>
    <col min="5385" max="5385" width="9.5546875" style="118" customWidth="1"/>
    <col min="5386" max="5386" width="0" style="118" hidden="1" customWidth="1"/>
    <col min="5387" max="5387" width="9.5546875" style="118" customWidth="1"/>
    <col min="5388" max="5388" width="0" style="118" hidden="1" customWidth="1"/>
    <col min="5389" max="5389" width="9.88671875" style="118" customWidth="1"/>
    <col min="5390" max="5390" width="0" style="118" hidden="1" customWidth="1"/>
    <col min="5391" max="5391" width="9.5546875" style="118" customWidth="1"/>
    <col min="5392" max="5392" width="0" style="118" hidden="1" customWidth="1"/>
    <col min="5393" max="5393" width="13.109375" style="118" customWidth="1"/>
    <col min="5394" max="5394" width="12" style="118" customWidth="1"/>
    <col min="5395" max="5395" width="12.5546875" style="118" customWidth="1"/>
    <col min="5396" max="5399" width="17.6640625" style="118" customWidth="1"/>
    <col min="5400" max="5400" width="13.109375" style="118" customWidth="1"/>
    <col min="5401" max="5632" width="9.109375" style="118"/>
    <col min="5633" max="5633" width="50.109375" style="118" customWidth="1"/>
    <col min="5634" max="5634" width="11" style="118" customWidth="1"/>
    <col min="5635" max="5635" width="11.109375" style="118" customWidth="1"/>
    <col min="5636" max="5636" width="0" style="118" hidden="1" customWidth="1"/>
    <col min="5637" max="5637" width="9.6640625" style="118" customWidth="1"/>
    <col min="5638" max="5638" width="0" style="118" hidden="1" customWidth="1"/>
    <col min="5639" max="5639" width="9.5546875" style="118" customWidth="1"/>
    <col min="5640" max="5640" width="0" style="118" hidden="1" customWidth="1"/>
    <col min="5641" max="5641" width="9.5546875" style="118" customWidth="1"/>
    <col min="5642" max="5642" width="0" style="118" hidden="1" customWidth="1"/>
    <col min="5643" max="5643" width="9.5546875" style="118" customWidth="1"/>
    <col min="5644" max="5644" width="0" style="118" hidden="1" customWidth="1"/>
    <col min="5645" max="5645" width="9.88671875" style="118" customWidth="1"/>
    <col min="5646" max="5646" width="0" style="118" hidden="1" customWidth="1"/>
    <col min="5647" max="5647" width="9.5546875" style="118" customWidth="1"/>
    <col min="5648" max="5648" width="0" style="118" hidden="1" customWidth="1"/>
    <col min="5649" max="5649" width="13.109375" style="118" customWidth="1"/>
    <col min="5650" max="5650" width="12" style="118" customWidth="1"/>
    <col min="5651" max="5651" width="12.5546875" style="118" customWidth="1"/>
    <col min="5652" max="5655" width="17.6640625" style="118" customWidth="1"/>
    <col min="5656" max="5656" width="13.109375" style="118" customWidth="1"/>
    <col min="5657" max="5888" width="9.109375" style="118"/>
    <col min="5889" max="5889" width="50.109375" style="118" customWidth="1"/>
    <col min="5890" max="5890" width="11" style="118" customWidth="1"/>
    <col min="5891" max="5891" width="11.109375" style="118" customWidth="1"/>
    <col min="5892" max="5892" width="0" style="118" hidden="1" customWidth="1"/>
    <col min="5893" max="5893" width="9.6640625" style="118" customWidth="1"/>
    <col min="5894" max="5894" width="0" style="118" hidden="1" customWidth="1"/>
    <col min="5895" max="5895" width="9.5546875" style="118" customWidth="1"/>
    <col min="5896" max="5896" width="0" style="118" hidden="1" customWidth="1"/>
    <col min="5897" max="5897" width="9.5546875" style="118" customWidth="1"/>
    <col min="5898" max="5898" width="0" style="118" hidden="1" customWidth="1"/>
    <col min="5899" max="5899" width="9.5546875" style="118" customWidth="1"/>
    <col min="5900" max="5900" width="0" style="118" hidden="1" customWidth="1"/>
    <col min="5901" max="5901" width="9.88671875" style="118" customWidth="1"/>
    <col min="5902" max="5902" width="0" style="118" hidden="1" customWidth="1"/>
    <col min="5903" max="5903" width="9.5546875" style="118" customWidth="1"/>
    <col min="5904" max="5904" width="0" style="118" hidden="1" customWidth="1"/>
    <col min="5905" max="5905" width="13.109375" style="118" customWidth="1"/>
    <col min="5906" max="5906" width="12" style="118" customWidth="1"/>
    <col min="5907" max="5907" width="12.5546875" style="118" customWidth="1"/>
    <col min="5908" max="5911" width="17.6640625" style="118" customWidth="1"/>
    <col min="5912" max="5912" width="13.109375" style="118" customWidth="1"/>
    <col min="5913" max="6144" width="9.109375" style="118"/>
    <col min="6145" max="6145" width="50.109375" style="118" customWidth="1"/>
    <col min="6146" max="6146" width="11" style="118" customWidth="1"/>
    <col min="6147" max="6147" width="11.109375" style="118" customWidth="1"/>
    <col min="6148" max="6148" width="0" style="118" hidden="1" customWidth="1"/>
    <col min="6149" max="6149" width="9.6640625" style="118" customWidth="1"/>
    <col min="6150" max="6150" width="0" style="118" hidden="1" customWidth="1"/>
    <col min="6151" max="6151" width="9.5546875" style="118" customWidth="1"/>
    <col min="6152" max="6152" width="0" style="118" hidden="1" customWidth="1"/>
    <col min="6153" max="6153" width="9.5546875" style="118" customWidth="1"/>
    <col min="6154" max="6154" width="0" style="118" hidden="1" customWidth="1"/>
    <col min="6155" max="6155" width="9.5546875" style="118" customWidth="1"/>
    <col min="6156" max="6156" width="0" style="118" hidden="1" customWidth="1"/>
    <col min="6157" max="6157" width="9.88671875" style="118" customWidth="1"/>
    <col min="6158" max="6158" width="0" style="118" hidden="1" customWidth="1"/>
    <col min="6159" max="6159" width="9.5546875" style="118" customWidth="1"/>
    <col min="6160" max="6160" width="0" style="118" hidden="1" customWidth="1"/>
    <col min="6161" max="6161" width="13.109375" style="118" customWidth="1"/>
    <col min="6162" max="6162" width="12" style="118" customWidth="1"/>
    <col min="6163" max="6163" width="12.5546875" style="118" customWidth="1"/>
    <col min="6164" max="6167" width="17.6640625" style="118" customWidth="1"/>
    <col min="6168" max="6168" width="13.109375" style="118" customWidth="1"/>
    <col min="6169" max="6400" width="9.109375" style="118"/>
    <col min="6401" max="6401" width="50.109375" style="118" customWidth="1"/>
    <col min="6402" max="6402" width="11" style="118" customWidth="1"/>
    <col min="6403" max="6403" width="11.109375" style="118" customWidth="1"/>
    <col min="6404" max="6404" width="0" style="118" hidden="1" customWidth="1"/>
    <col min="6405" max="6405" width="9.6640625" style="118" customWidth="1"/>
    <col min="6406" max="6406" width="0" style="118" hidden="1" customWidth="1"/>
    <col min="6407" max="6407" width="9.5546875" style="118" customWidth="1"/>
    <col min="6408" max="6408" width="0" style="118" hidden="1" customWidth="1"/>
    <col min="6409" max="6409" width="9.5546875" style="118" customWidth="1"/>
    <col min="6410" max="6410" width="0" style="118" hidden="1" customWidth="1"/>
    <col min="6411" max="6411" width="9.5546875" style="118" customWidth="1"/>
    <col min="6412" max="6412" width="0" style="118" hidden="1" customWidth="1"/>
    <col min="6413" max="6413" width="9.88671875" style="118" customWidth="1"/>
    <col min="6414" max="6414" width="0" style="118" hidden="1" customWidth="1"/>
    <col min="6415" max="6415" width="9.5546875" style="118" customWidth="1"/>
    <col min="6416" max="6416" width="0" style="118" hidden="1" customWidth="1"/>
    <col min="6417" max="6417" width="13.109375" style="118" customWidth="1"/>
    <col min="6418" max="6418" width="12" style="118" customWidth="1"/>
    <col min="6419" max="6419" width="12.5546875" style="118" customWidth="1"/>
    <col min="6420" max="6423" width="17.6640625" style="118" customWidth="1"/>
    <col min="6424" max="6424" width="13.109375" style="118" customWidth="1"/>
    <col min="6425" max="6656" width="9.109375" style="118"/>
    <col min="6657" max="6657" width="50.109375" style="118" customWidth="1"/>
    <col min="6658" max="6658" width="11" style="118" customWidth="1"/>
    <col min="6659" max="6659" width="11.109375" style="118" customWidth="1"/>
    <col min="6660" max="6660" width="0" style="118" hidden="1" customWidth="1"/>
    <col min="6661" max="6661" width="9.6640625" style="118" customWidth="1"/>
    <col min="6662" max="6662" width="0" style="118" hidden="1" customWidth="1"/>
    <col min="6663" max="6663" width="9.5546875" style="118" customWidth="1"/>
    <col min="6664" max="6664" width="0" style="118" hidden="1" customWidth="1"/>
    <col min="6665" max="6665" width="9.5546875" style="118" customWidth="1"/>
    <col min="6666" max="6666" width="0" style="118" hidden="1" customWidth="1"/>
    <col min="6667" max="6667" width="9.5546875" style="118" customWidth="1"/>
    <col min="6668" max="6668" width="0" style="118" hidden="1" customWidth="1"/>
    <col min="6669" max="6669" width="9.88671875" style="118" customWidth="1"/>
    <col min="6670" max="6670" width="0" style="118" hidden="1" customWidth="1"/>
    <col min="6671" max="6671" width="9.5546875" style="118" customWidth="1"/>
    <col min="6672" max="6672" width="0" style="118" hidden="1" customWidth="1"/>
    <col min="6673" max="6673" width="13.109375" style="118" customWidth="1"/>
    <col min="6674" max="6674" width="12" style="118" customWidth="1"/>
    <col min="6675" max="6675" width="12.5546875" style="118" customWidth="1"/>
    <col min="6676" max="6679" width="17.6640625" style="118" customWidth="1"/>
    <col min="6680" max="6680" width="13.109375" style="118" customWidth="1"/>
    <col min="6681" max="6912" width="9.109375" style="118"/>
    <col min="6913" max="6913" width="50.109375" style="118" customWidth="1"/>
    <col min="6914" max="6914" width="11" style="118" customWidth="1"/>
    <col min="6915" max="6915" width="11.109375" style="118" customWidth="1"/>
    <col min="6916" max="6916" width="0" style="118" hidden="1" customWidth="1"/>
    <col min="6917" max="6917" width="9.6640625" style="118" customWidth="1"/>
    <col min="6918" max="6918" width="0" style="118" hidden="1" customWidth="1"/>
    <col min="6919" max="6919" width="9.5546875" style="118" customWidth="1"/>
    <col min="6920" max="6920" width="0" style="118" hidden="1" customWidth="1"/>
    <col min="6921" max="6921" width="9.5546875" style="118" customWidth="1"/>
    <col min="6922" max="6922" width="0" style="118" hidden="1" customWidth="1"/>
    <col min="6923" max="6923" width="9.5546875" style="118" customWidth="1"/>
    <col min="6924" max="6924" width="0" style="118" hidden="1" customWidth="1"/>
    <col min="6925" max="6925" width="9.88671875" style="118" customWidth="1"/>
    <col min="6926" max="6926" width="0" style="118" hidden="1" customWidth="1"/>
    <col min="6927" max="6927" width="9.5546875" style="118" customWidth="1"/>
    <col min="6928" max="6928" width="0" style="118" hidden="1" customWidth="1"/>
    <col min="6929" max="6929" width="13.109375" style="118" customWidth="1"/>
    <col min="6930" max="6930" width="12" style="118" customWidth="1"/>
    <col min="6931" max="6931" width="12.5546875" style="118" customWidth="1"/>
    <col min="6932" max="6935" width="17.6640625" style="118" customWidth="1"/>
    <col min="6936" max="6936" width="13.109375" style="118" customWidth="1"/>
    <col min="6937" max="7168" width="9.109375" style="118"/>
    <col min="7169" max="7169" width="50.109375" style="118" customWidth="1"/>
    <col min="7170" max="7170" width="11" style="118" customWidth="1"/>
    <col min="7171" max="7171" width="11.109375" style="118" customWidth="1"/>
    <col min="7172" max="7172" width="0" style="118" hidden="1" customWidth="1"/>
    <col min="7173" max="7173" width="9.6640625" style="118" customWidth="1"/>
    <col min="7174" max="7174" width="0" style="118" hidden="1" customWidth="1"/>
    <col min="7175" max="7175" width="9.5546875" style="118" customWidth="1"/>
    <col min="7176" max="7176" width="0" style="118" hidden="1" customWidth="1"/>
    <col min="7177" max="7177" width="9.5546875" style="118" customWidth="1"/>
    <col min="7178" max="7178" width="0" style="118" hidden="1" customWidth="1"/>
    <col min="7179" max="7179" width="9.5546875" style="118" customWidth="1"/>
    <col min="7180" max="7180" width="0" style="118" hidden="1" customWidth="1"/>
    <col min="7181" max="7181" width="9.88671875" style="118" customWidth="1"/>
    <col min="7182" max="7182" width="0" style="118" hidden="1" customWidth="1"/>
    <col min="7183" max="7183" width="9.5546875" style="118" customWidth="1"/>
    <col min="7184" max="7184" width="0" style="118" hidden="1" customWidth="1"/>
    <col min="7185" max="7185" width="13.109375" style="118" customWidth="1"/>
    <col min="7186" max="7186" width="12" style="118" customWidth="1"/>
    <col min="7187" max="7187" width="12.5546875" style="118" customWidth="1"/>
    <col min="7188" max="7191" width="17.6640625" style="118" customWidth="1"/>
    <col min="7192" max="7192" width="13.109375" style="118" customWidth="1"/>
    <col min="7193" max="7424" width="9.109375" style="118"/>
    <col min="7425" max="7425" width="50.109375" style="118" customWidth="1"/>
    <col min="7426" max="7426" width="11" style="118" customWidth="1"/>
    <col min="7427" max="7427" width="11.109375" style="118" customWidth="1"/>
    <col min="7428" max="7428" width="0" style="118" hidden="1" customWidth="1"/>
    <col min="7429" max="7429" width="9.6640625" style="118" customWidth="1"/>
    <col min="7430" max="7430" width="0" style="118" hidden="1" customWidth="1"/>
    <col min="7431" max="7431" width="9.5546875" style="118" customWidth="1"/>
    <col min="7432" max="7432" width="0" style="118" hidden="1" customWidth="1"/>
    <col min="7433" max="7433" width="9.5546875" style="118" customWidth="1"/>
    <col min="7434" max="7434" width="0" style="118" hidden="1" customWidth="1"/>
    <col min="7435" max="7435" width="9.5546875" style="118" customWidth="1"/>
    <col min="7436" max="7436" width="0" style="118" hidden="1" customWidth="1"/>
    <col min="7437" max="7437" width="9.88671875" style="118" customWidth="1"/>
    <col min="7438" max="7438" width="0" style="118" hidden="1" customWidth="1"/>
    <col min="7439" max="7439" width="9.5546875" style="118" customWidth="1"/>
    <col min="7440" max="7440" width="0" style="118" hidden="1" customWidth="1"/>
    <col min="7441" max="7441" width="13.109375" style="118" customWidth="1"/>
    <col min="7442" max="7442" width="12" style="118" customWidth="1"/>
    <col min="7443" max="7443" width="12.5546875" style="118" customWidth="1"/>
    <col min="7444" max="7447" width="17.6640625" style="118" customWidth="1"/>
    <col min="7448" max="7448" width="13.109375" style="118" customWidth="1"/>
    <col min="7449" max="7680" width="9.109375" style="118"/>
    <col min="7681" max="7681" width="50.109375" style="118" customWidth="1"/>
    <col min="7682" max="7682" width="11" style="118" customWidth="1"/>
    <col min="7683" max="7683" width="11.109375" style="118" customWidth="1"/>
    <col min="7684" max="7684" width="0" style="118" hidden="1" customWidth="1"/>
    <col min="7685" max="7685" width="9.6640625" style="118" customWidth="1"/>
    <col min="7686" max="7686" width="0" style="118" hidden="1" customWidth="1"/>
    <col min="7687" max="7687" width="9.5546875" style="118" customWidth="1"/>
    <col min="7688" max="7688" width="0" style="118" hidden="1" customWidth="1"/>
    <col min="7689" max="7689" width="9.5546875" style="118" customWidth="1"/>
    <col min="7690" max="7690" width="0" style="118" hidden="1" customWidth="1"/>
    <col min="7691" max="7691" width="9.5546875" style="118" customWidth="1"/>
    <col min="7692" max="7692" width="0" style="118" hidden="1" customWidth="1"/>
    <col min="7693" max="7693" width="9.88671875" style="118" customWidth="1"/>
    <col min="7694" max="7694" width="0" style="118" hidden="1" customWidth="1"/>
    <col min="7695" max="7695" width="9.5546875" style="118" customWidth="1"/>
    <col min="7696" max="7696" width="0" style="118" hidden="1" customWidth="1"/>
    <col min="7697" max="7697" width="13.109375" style="118" customWidth="1"/>
    <col min="7698" max="7698" width="12" style="118" customWidth="1"/>
    <col min="7699" max="7699" width="12.5546875" style="118" customWidth="1"/>
    <col min="7700" max="7703" width="17.6640625" style="118" customWidth="1"/>
    <col min="7704" max="7704" width="13.109375" style="118" customWidth="1"/>
    <col min="7705" max="7936" width="9.109375" style="118"/>
    <col min="7937" max="7937" width="50.109375" style="118" customWidth="1"/>
    <col min="7938" max="7938" width="11" style="118" customWidth="1"/>
    <col min="7939" max="7939" width="11.109375" style="118" customWidth="1"/>
    <col min="7940" max="7940" width="0" style="118" hidden="1" customWidth="1"/>
    <col min="7941" max="7941" width="9.6640625" style="118" customWidth="1"/>
    <col min="7942" max="7942" width="0" style="118" hidden="1" customWidth="1"/>
    <col min="7943" max="7943" width="9.5546875" style="118" customWidth="1"/>
    <col min="7944" max="7944" width="0" style="118" hidden="1" customWidth="1"/>
    <col min="7945" max="7945" width="9.5546875" style="118" customWidth="1"/>
    <col min="7946" max="7946" width="0" style="118" hidden="1" customWidth="1"/>
    <col min="7947" max="7947" width="9.5546875" style="118" customWidth="1"/>
    <col min="7948" max="7948" width="0" style="118" hidden="1" customWidth="1"/>
    <col min="7949" max="7949" width="9.88671875" style="118" customWidth="1"/>
    <col min="7950" max="7950" width="0" style="118" hidden="1" customWidth="1"/>
    <col min="7951" max="7951" width="9.5546875" style="118" customWidth="1"/>
    <col min="7952" max="7952" width="0" style="118" hidden="1" customWidth="1"/>
    <col min="7953" max="7953" width="13.109375" style="118" customWidth="1"/>
    <col min="7954" max="7954" width="12" style="118" customWidth="1"/>
    <col min="7955" max="7955" width="12.5546875" style="118" customWidth="1"/>
    <col min="7956" max="7959" width="17.6640625" style="118" customWidth="1"/>
    <col min="7960" max="7960" width="13.109375" style="118" customWidth="1"/>
    <col min="7961" max="8192" width="9.109375" style="118"/>
    <col min="8193" max="8193" width="50.109375" style="118" customWidth="1"/>
    <col min="8194" max="8194" width="11" style="118" customWidth="1"/>
    <col min="8195" max="8195" width="11.109375" style="118" customWidth="1"/>
    <col min="8196" max="8196" width="0" style="118" hidden="1" customWidth="1"/>
    <col min="8197" max="8197" width="9.6640625" style="118" customWidth="1"/>
    <col min="8198" max="8198" width="0" style="118" hidden="1" customWidth="1"/>
    <col min="8199" max="8199" width="9.5546875" style="118" customWidth="1"/>
    <col min="8200" max="8200" width="0" style="118" hidden="1" customWidth="1"/>
    <col min="8201" max="8201" width="9.5546875" style="118" customWidth="1"/>
    <col min="8202" max="8202" width="0" style="118" hidden="1" customWidth="1"/>
    <col min="8203" max="8203" width="9.5546875" style="118" customWidth="1"/>
    <col min="8204" max="8204" width="0" style="118" hidden="1" customWidth="1"/>
    <col min="8205" max="8205" width="9.88671875" style="118" customWidth="1"/>
    <col min="8206" max="8206" width="0" style="118" hidden="1" customWidth="1"/>
    <col min="8207" max="8207" width="9.5546875" style="118" customWidth="1"/>
    <col min="8208" max="8208" width="0" style="118" hidden="1" customWidth="1"/>
    <col min="8209" max="8209" width="13.109375" style="118" customWidth="1"/>
    <col min="8210" max="8210" width="12" style="118" customWidth="1"/>
    <col min="8211" max="8211" width="12.5546875" style="118" customWidth="1"/>
    <col min="8212" max="8215" width="17.6640625" style="118" customWidth="1"/>
    <col min="8216" max="8216" width="13.109375" style="118" customWidth="1"/>
    <col min="8217" max="8448" width="9.109375" style="118"/>
    <col min="8449" max="8449" width="50.109375" style="118" customWidth="1"/>
    <col min="8450" max="8450" width="11" style="118" customWidth="1"/>
    <col min="8451" max="8451" width="11.109375" style="118" customWidth="1"/>
    <col min="8452" max="8452" width="0" style="118" hidden="1" customWidth="1"/>
    <col min="8453" max="8453" width="9.6640625" style="118" customWidth="1"/>
    <col min="8454" max="8454" width="0" style="118" hidden="1" customWidth="1"/>
    <col min="8455" max="8455" width="9.5546875" style="118" customWidth="1"/>
    <col min="8456" max="8456" width="0" style="118" hidden="1" customWidth="1"/>
    <col min="8457" max="8457" width="9.5546875" style="118" customWidth="1"/>
    <col min="8458" max="8458" width="0" style="118" hidden="1" customWidth="1"/>
    <col min="8459" max="8459" width="9.5546875" style="118" customWidth="1"/>
    <col min="8460" max="8460" width="0" style="118" hidden="1" customWidth="1"/>
    <col min="8461" max="8461" width="9.88671875" style="118" customWidth="1"/>
    <col min="8462" max="8462" width="0" style="118" hidden="1" customWidth="1"/>
    <col min="8463" max="8463" width="9.5546875" style="118" customWidth="1"/>
    <col min="8464" max="8464" width="0" style="118" hidden="1" customWidth="1"/>
    <col min="8465" max="8465" width="13.109375" style="118" customWidth="1"/>
    <col min="8466" max="8466" width="12" style="118" customWidth="1"/>
    <col min="8467" max="8467" width="12.5546875" style="118" customWidth="1"/>
    <col min="8468" max="8471" width="17.6640625" style="118" customWidth="1"/>
    <col min="8472" max="8472" width="13.109375" style="118" customWidth="1"/>
    <col min="8473" max="8704" width="9.109375" style="118"/>
    <col min="8705" max="8705" width="50.109375" style="118" customWidth="1"/>
    <col min="8706" max="8706" width="11" style="118" customWidth="1"/>
    <col min="8707" max="8707" width="11.109375" style="118" customWidth="1"/>
    <col min="8708" max="8708" width="0" style="118" hidden="1" customWidth="1"/>
    <col min="8709" max="8709" width="9.6640625" style="118" customWidth="1"/>
    <col min="8710" max="8710" width="0" style="118" hidden="1" customWidth="1"/>
    <col min="8711" max="8711" width="9.5546875" style="118" customWidth="1"/>
    <col min="8712" max="8712" width="0" style="118" hidden="1" customWidth="1"/>
    <col min="8713" max="8713" width="9.5546875" style="118" customWidth="1"/>
    <col min="8714" max="8714" width="0" style="118" hidden="1" customWidth="1"/>
    <col min="8715" max="8715" width="9.5546875" style="118" customWidth="1"/>
    <col min="8716" max="8716" width="0" style="118" hidden="1" customWidth="1"/>
    <col min="8717" max="8717" width="9.88671875" style="118" customWidth="1"/>
    <col min="8718" max="8718" width="0" style="118" hidden="1" customWidth="1"/>
    <col min="8719" max="8719" width="9.5546875" style="118" customWidth="1"/>
    <col min="8720" max="8720" width="0" style="118" hidden="1" customWidth="1"/>
    <col min="8721" max="8721" width="13.109375" style="118" customWidth="1"/>
    <col min="8722" max="8722" width="12" style="118" customWidth="1"/>
    <col min="8723" max="8723" width="12.5546875" style="118" customWidth="1"/>
    <col min="8724" max="8727" width="17.6640625" style="118" customWidth="1"/>
    <col min="8728" max="8728" width="13.109375" style="118" customWidth="1"/>
    <col min="8729" max="8960" width="9.109375" style="118"/>
    <col min="8961" max="8961" width="50.109375" style="118" customWidth="1"/>
    <col min="8962" max="8962" width="11" style="118" customWidth="1"/>
    <col min="8963" max="8963" width="11.109375" style="118" customWidth="1"/>
    <col min="8964" max="8964" width="0" style="118" hidden="1" customWidth="1"/>
    <col min="8965" max="8965" width="9.6640625" style="118" customWidth="1"/>
    <col min="8966" max="8966" width="0" style="118" hidden="1" customWidth="1"/>
    <col min="8967" max="8967" width="9.5546875" style="118" customWidth="1"/>
    <col min="8968" max="8968" width="0" style="118" hidden="1" customWidth="1"/>
    <col min="8969" max="8969" width="9.5546875" style="118" customWidth="1"/>
    <col min="8970" max="8970" width="0" style="118" hidden="1" customWidth="1"/>
    <col min="8971" max="8971" width="9.5546875" style="118" customWidth="1"/>
    <col min="8972" max="8972" width="0" style="118" hidden="1" customWidth="1"/>
    <col min="8973" max="8973" width="9.88671875" style="118" customWidth="1"/>
    <col min="8974" max="8974" width="0" style="118" hidden="1" customWidth="1"/>
    <col min="8975" max="8975" width="9.5546875" style="118" customWidth="1"/>
    <col min="8976" max="8976" width="0" style="118" hidden="1" customWidth="1"/>
    <col min="8977" max="8977" width="13.109375" style="118" customWidth="1"/>
    <col min="8978" max="8978" width="12" style="118" customWidth="1"/>
    <col min="8979" max="8979" width="12.5546875" style="118" customWidth="1"/>
    <col min="8980" max="8983" width="17.6640625" style="118" customWidth="1"/>
    <col min="8984" max="8984" width="13.109375" style="118" customWidth="1"/>
    <col min="8985" max="9216" width="9.109375" style="118"/>
    <col min="9217" max="9217" width="50.109375" style="118" customWidth="1"/>
    <col min="9218" max="9218" width="11" style="118" customWidth="1"/>
    <col min="9219" max="9219" width="11.109375" style="118" customWidth="1"/>
    <col min="9220" max="9220" width="0" style="118" hidden="1" customWidth="1"/>
    <col min="9221" max="9221" width="9.6640625" style="118" customWidth="1"/>
    <col min="9222" max="9222" width="0" style="118" hidden="1" customWidth="1"/>
    <col min="9223" max="9223" width="9.5546875" style="118" customWidth="1"/>
    <col min="9224" max="9224" width="0" style="118" hidden="1" customWidth="1"/>
    <col min="9225" max="9225" width="9.5546875" style="118" customWidth="1"/>
    <col min="9226" max="9226" width="0" style="118" hidden="1" customWidth="1"/>
    <col min="9227" max="9227" width="9.5546875" style="118" customWidth="1"/>
    <col min="9228" max="9228" width="0" style="118" hidden="1" customWidth="1"/>
    <col min="9229" max="9229" width="9.88671875" style="118" customWidth="1"/>
    <col min="9230" max="9230" width="0" style="118" hidden="1" customWidth="1"/>
    <col min="9231" max="9231" width="9.5546875" style="118" customWidth="1"/>
    <col min="9232" max="9232" width="0" style="118" hidden="1" customWidth="1"/>
    <col min="9233" max="9233" width="13.109375" style="118" customWidth="1"/>
    <col min="9234" max="9234" width="12" style="118" customWidth="1"/>
    <col min="9235" max="9235" width="12.5546875" style="118" customWidth="1"/>
    <col min="9236" max="9239" width="17.6640625" style="118" customWidth="1"/>
    <col min="9240" max="9240" width="13.109375" style="118" customWidth="1"/>
    <col min="9241" max="9472" width="9.109375" style="118"/>
    <col min="9473" max="9473" width="50.109375" style="118" customWidth="1"/>
    <col min="9474" max="9474" width="11" style="118" customWidth="1"/>
    <col min="9475" max="9475" width="11.109375" style="118" customWidth="1"/>
    <col min="9476" max="9476" width="0" style="118" hidden="1" customWidth="1"/>
    <col min="9477" max="9477" width="9.6640625" style="118" customWidth="1"/>
    <col min="9478" max="9478" width="0" style="118" hidden="1" customWidth="1"/>
    <col min="9479" max="9479" width="9.5546875" style="118" customWidth="1"/>
    <col min="9480" max="9480" width="0" style="118" hidden="1" customWidth="1"/>
    <col min="9481" max="9481" width="9.5546875" style="118" customWidth="1"/>
    <col min="9482" max="9482" width="0" style="118" hidden="1" customWidth="1"/>
    <col min="9483" max="9483" width="9.5546875" style="118" customWidth="1"/>
    <col min="9484" max="9484" width="0" style="118" hidden="1" customWidth="1"/>
    <col min="9485" max="9485" width="9.88671875" style="118" customWidth="1"/>
    <col min="9486" max="9486" width="0" style="118" hidden="1" customWidth="1"/>
    <col min="9487" max="9487" width="9.5546875" style="118" customWidth="1"/>
    <col min="9488" max="9488" width="0" style="118" hidden="1" customWidth="1"/>
    <col min="9489" max="9489" width="13.109375" style="118" customWidth="1"/>
    <col min="9490" max="9490" width="12" style="118" customWidth="1"/>
    <col min="9491" max="9491" width="12.5546875" style="118" customWidth="1"/>
    <col min="9492" max="9495" width="17.6640625" style="118" customWidth="1"/>
    <col min="9496" max="9496" width="13.109375" style="118" customWidth="1"/>
    <col min="9497" max="9728" width="9.109375" style="118"/>
    <col min="9729" max="9729" width="50.109375" style="118" customWidth="1"/>
    <col min="9730" max="9730" width="11" style="118" customWidth="1"/>
    <col min="9731" max="9731" width="11.109375" style="118" customWidth="1"/>
    <col min="9732" max="9732" width="0" style="118" hidden="1" customWidth="1"/>
    <col min="9733" max="9733" width="9.6640625" style="118" customWidth="1"/>
    <col min="9734" max="9734" width="0" style="118" hidden="1" customWidth="1"/>
    <col min="9735" max="9735" width="9.5546875" style="118" customWidth="1"/>
    <col min="9736" max="9736" width="0" style="118" hidden="1" customWidth="1"/>
    <col min="9737" max="9737" width="9.5546875" style="118" customWidth="1"/>
    <col min="9738" max="9738" width="0" style="118" hidden="1" customWidth="1"/>
    <col min="9739" max="9739" width="9.5546875" style="118" customWidth="1"/>
    <col min="9740" max="9740" width="0" style="118" hidden="1" customWidth="1"/>
    <col min="9741" max="9741" width="9.88671875" style="118" customWidth="1"/>
    <col min="9742" max="9742" width="0" style="118" hidden="1" customWidth="1"/>
    <col min="9743" max="9743" width="9.5546875" style="118" customWidth="1"/>
    <col min="9744" max="9744" width="0" style="118" hidden="1" customWidth="1"/>
    <col min="9745" max="9745" width="13.109375" style="118" customWidth="1"/>
    <col min="9746" max="9746" width="12" style="118" customWidth="1"/>
    <col min="9747" max="9747" width="12.5546875" style="118" customWidth="1"/>
    <col min="9748" max="9751" width="17.6640625" style="118" customWidth="1"/>
    <col min="9752" max="9752" width="13.109375" style="118" customWidth="1"/>
    <col min="9753" max="9984" width="9.109375" style="118"/>
    <col min="9985" max="9985" width="50.109375" style="118" customWidth="1"/>
    <col min="9986" max="9986" width="11" style="118" customWidth="1"/>
    <col min="9987" max="9987" width="11.109375" style="118" customWidth="1"/>
    <col min="9988" max="9988" width="0" style="118" hidden="1" customWidth="1"/>
    <col min="9989" max="9989" width="9.6640625" style="118" customWidth="1"/>
    <col min="9990" max="9990" width="0" style="118" hidden="1" customWidth="1"/>
    <col min="9991" max="9991" width="9.5546875" style="118" customWidth="1"/>
    <col min="9992" max="9992" width="0" style="118" hidden="1" customWidth="1"/>
    <col min="9993" max="9993" width="9.5546875" style="118" customWidth="1"/>
    <col min="9994" max="9994" width="0" style="118" hidden="1" customWidth="1"/>
    <col min="9995" max="9995" width="9.5546875" style="118" customWidth="1"/>
    <col min="9996" max="9996" width="0" style="118" hidden="1" customWidth="1"/>
    <col min="9997" max="9997" width="9.88671875" style="118" customWidth="1"/>
    <col min="9998" max="9998" width="0" style="118" hidden="1" customWidth="1"/>
    <col min="9999" max="9999" width="9.5546875" style="118" customWidth="1"/>
    <col min="10000" max="10000" width="0" style="118" hidden="1" customWidth="1"/>
    <col min="10001" max="10001" width="13.109375" style="118" customWidth="1"/>
    <col min="10002" max="10002" width="12" style="118" customWidth="1"/>
    <col min="10003" max="10003" width="12.5546875" style="118" customWidth="1"/>
    <col min="10004" max="10007" width="17.6640625" style="118" customWidth="1"/>
    <col min="10008" max="10008" width="13.109375" style="118" customWidth="1"/>
    <col min="10009" max="10240" width="9.109375" style="118"/>
    <col min="10241" max="10241" width="50.109375" style="118" customWidth="1"/>
    <col min="10242" max="10242" width="11" style="118" customWidth="1"/>
    <col min="10243" max="10243" width="11.109375" style="118" customWidth="1"/>
    <col min="10244" max="10244" width="0" style="118" hidden="1" customWidth="1"/>
    <col min="10245" max="10245" width="9.6640625" style="118" customWidth="1"/>
    <col min="10246" max="10246" width="0" style="118" hidden="1" customWidth="1"/>
    <col min="10247" max="10247" width="9.5546875" style="118" customWidth="1"/>
    <col min="10248" max="10248" width="0" style="118" hidden="1" customWidth="1"/>
    <col min="10249" max="10249" width="9.5546875" style="118" customWidth="1"/>
    <col min="10250" max="10250" width="0" style="118" hidden="1" customWidth="1"/>
    <col min="10251" max="10251" width="9.5546875" style="118" customWidth="1"/>
    <col min="10252" max="10252" width="0" style="118" hidden="1" customWidth="1"/>
    <col min="10253" max="10253" width="9.88671875" style="118" customWidth="1"/>
    <col min="10254" max="10254" width="0" style="118" hidden="1" customWidth="1"/>
    <col min="10255" max="10255" width="9.5546875" style="118" customWidth="1"/>
    <col min="10256" max="10256" width="0" style="118" hidden="1" customWidth="1"/>
    <col min="10257" max="10257" width="13.109375" style="118" customWidth="1"/>
    <col min="10258" max="10258" width="12" style="118" customWidth="1"/>
    <col min="10259" max="10259" width="12.5546875" style="118" customWidth="1"/>
    <col min="10260" max="10263" width="17.6640625" style="118" customWidth="1"/>
    <col min="10264" max="10264" width="13.109375" style="118" customWidth="1"/>
    <col min="10265" max="10496" width="9.109375" style="118"/>
    <col min="10497" max="10497" width="50.109375" style="118" customWidth="1"/>
    <col min="10498" max="10498" width="11" style="118" customWidth="1"/>
    <col min="10499" max="10499" width="11.109375" style="118" customWidth="1"/>
    <col min="10500" max="10500" width="0" style="118" hidden="1" customWidth="1"/>
    <col min="10501" max="10501" width="9.6640625" style="118" customWidth="1"/>
    <col min="10502" max="10502" width="0" style="118" hidden="1" customWidth="1"/>
    <col min="10503" max="10503" width="9.5546875" style="118" customWidth="1"/>
    <col min="10504" max="10504" width="0" style="118" hidden="1" customWidth="1"/>
    <col min="10505" max="10505" width="9.5546875" style="118" customWidth="1"/>
    <col min="10506" max="10506" width="0" style="118" hidden="1" customWidth="1"/>
    <col min="10507" max="10507" width="9.5546875" style="118" customWidth="1"/>
    <col min="10508" max="10508" width="0" style="118" hidden="1" customWidth="1"/>
    <col min="10509" max="10509" width="9.88671875" style="118" customWidth="1"/>
    <col min="10510" max="10510" width="0" style="118" hidden="1" customWidth="1"/>
    <col min="10511" max="10511" width="9.5546875" style="118" customWidth="1"/>
    <col min="10512" max="10512" width="0" style="118" hidden="1" customWidth="1"/>
    <col min="10513" max="10513" width="13.109375" style="118" customWidth="1"/>
    <col min="10514" max="10514" width="12" style="118" customWidth="1"/>
    <col min="10515" max="10515" width="12.5546875" style="118" customWidth="1"/>
    <col min="10516" max="10519" width="17.6640625" style="118" customWidth="1"/>
    <col min="10520" max="10520" width="13.109375" style="118" customWidth="1"/>
    <col min="10521" max="10752" width="9.109375" style="118"/>
    <col min="10753" max="10753" width="50.109375" style="118" customWidth="1"/>
    <col min="10754" max="10754" width="11" style="118" customWidth="1"/>
    <col min="10755" max="10755" width="11.109375" style="118" customWidth="1"/>
    <col min="10756" max="10756" width="0" style="118" hidden="1" customWidth="1"/>
    <col min="10757" max="10757" width="9.6640625" style="118" customWidth="1"/>
    <col min="10758" max="10758" width="0" style="118" hidden="1" customWidth="1"/>
    <col min="10759" max="10759" width="9.5546875" style="118" customWidth="1"/>
    <col min="10760" max="10760" width="0" style="118" hidden="1" customWidth="1"/>
    <col min="10761" max="10761" width="9.5546875" style="118" customWidth="1"/>
    <col min="10762" max="10762" width="0" style="118" hidden="1" customWidth="1"/>
    <col min="10763" max="10763" width="9.5546875" style="118" customWidth="1"/>
    <col min="10764" max="10764" width="0" style="118" hidden="1" customWidth="1"/>
    <col min="10765" max="10765" width="9.88671875" style="118" customWidth="1"/>
    <col min="10766" max="10766" width="0" style="118" hidden="1" customWidth="1"/>
    <col min="10767" max="10767" width="9.5546875" style="118" customWidth="1"/>
    <col min="10768" max="10768" width="0" style="118" hidden="1" customWidth="1"/>
    <col min="10769" max="10769" width="13.109375" style="118" customWidth="1"/>
    <col min="10770" max="10770" width="12" style="118" customWidth="1"/>
    <col min="10771" max="10771" width="12.5546875" style="118" customWidth="1"/>
    <col min="10772" max="10775" width="17.6640625" style="118" customWidth="1"/>
    <col min="10776" max="10776" width="13.109375" style="118" customWidth="1"/>
    <col min="10777" max="11008" width="9.109375" style="118"/>
    <col min="11009" max="11009" width="50.109375" style="118" customWidth="1"/>
    <col min="11010" max="11010" width="11" style="118" customWidth="1"/>
    <col min="11011" max="11011" width="11.109375" style="118" customWidth="1"/>
    <col min="11012" max="11012" width="0" style="118" hidden="1" customWidth="1"/>
    <col min="11013" max="11013" width="9.6640625" style="118" customWidth="1"/>
    <col min="11014" max="11014" width="0" style="118" hidden="1" customWidth="1"/>
    <col min="11015" max="11015" width="9.5546875" style="118" customWidth="1"/>
    <col min="11016" max="11016" width="0" style="118" hidden="1" customWidth="1"/>
    <col min="11017" max="11017" width="9.5546875" style="118" customWidth="1"/>
    <col min="11018" max="11018" width="0" style="118" hidden="1" customWidth="1"/>
    <col min="11019" max="11019" width="9.5546875" style="118" customWidth="1"/>
    <col min="11020" max="11020" width="0" style="118" hidden="1" customWidth="1"/>
    <col min="11021" max="11021" width="9.88671875" style="118" customWidth="1"/>
    <col min="11022" max="11022" width="0" style="118" hidden="1" customWidth="1"/>
    <col min="11023" max="11023" width="9.5546875" style="118" customWidth="1"/>
    <col min="11024" max="11024" width="0" style="118" hidden="1" customWidth="1"/>
    <col min="11025" max="11025" width="13.109375" style="118" customWidth="1"/>
    <col min="11026" max="11026" width="12" style="118" customWidth="1"/>
    <col min="11027" max="11027" width="12.5546875" style="118" customWidth="1"/>
    <col min="11028" max="11031" width="17.6640625" style="118" customWidth="1"/>
    <col min="11032" max="11032" width="13.109375" style="118" customWidth="1"/>
    <col min="11033" max="11264" width="9.109375" style="118"/>
    <col min="11265" max="11265" width="50.109375" style="118" customWidth="1"/>
    <col min="11266" max="11266" width="11" style="118" customWidth="1"/>
    <col min="11267" max="11267" width="11.109375" style="118" customWidth="1"/>
    <col min="11268" max="11268" width="0" style="118" hidden="1" customWidth="1"/>
    <col min="11269" max="11269" width="9.6640625" style="118" customWidth="1"/>
    <col min="11270" max="11270" width="0" style="118" hidden="1" customWidth="1"/>
    <col min="11271" max="11271" width="9.5546875" style="118" customWidth="1"/>
    <col min="11272" max="11272" width="0" style="118" hidden="1" customWidth="1"/>
    <col min="11273" max="11273" width="9.5546875" style="118" customWidth="1"/>
    <col min="11274" max="11274" width="0" style="118" hidden="1" customWidth="1"/>
    <col min="11275" max="11275" width="9.5546875" style="118" customWidth="1"/>
    <col min="11276" max="11276" width="0" style="118" hidden="1" customWidth="1"/>
    <col min="11277" max="11277" width="9.88671875" style="118" customWidth="1"/>
    <col min="11278" max="11278" width="0" style="118" hidden="1" customWidth="1"/>
    <col min="11279" max="11279" width="9.5546875" style="118" customWidth="1"/>
    <col min="11280" max="11280" width="0" style="118" hidden="1" customWidth="1"/>
    <col min="11281" max="11281" width="13.109375" style="118" customWidth="1"/>
    <col min="11282" max="11282" width="12" style="118" customWidth="1"/>
    <col min="11283" max="11283" width="12.5546875" style="118" customWidth="1"/>
    <col min="11284" max="11287" width="17.6640625" style="118" customWidth="1"/>
    <col min="11288" max="11288" width="13.109375" style="118" customWidth="1"/>
    <col min="11289" max="11520" width="9.109375" style="118"/>
    <col min="11521" max="11521" width="50.109375" style="118" customWidth="1"/>
    <col min="11522" max="11522" width="11" style="118" customWidth="1"/>
    <col min="11523" max="11523" width="11.109375" style="118" customWidth="1"/>
    <col min="11524" max="11524" width="0" style="118" hidden="1" customWidth="1"/>
    <col min="11525" max="11525" width="9.6640625" style="118" customWidth="1"/>
    <col min="11526" max="11526" width="0" style="118" hidden="1" customWidth="1"/>
    <col min="11527" max="11527" width="9.5546875" style="118" customWidth="1"/>
    <col min="11528" max="11528" width="0" style="118" hidden="1" customWidth="1"/>
    <col min="11529" max="11529" width="9.5546875" style="118" customWidth="1"/>
    <col min="11530" max="11530" width="0" style="118" hidden="1" customWidth="1"/>
    <col min="11531" max="11531" width="9.5546875" style="118" customWidth="1"/>
    <col min="11532" max="11532" width="0" style="118" hidden="1" customWidth="1"/>
    <col min="11533" max="11533" width="9.88671875" style="118" customWidth="1"/>
    <col min="11534" max="11534" width="0" style="118" hidden="1" customWidth="1"/>
    <col min="11535" max="11535" width="9.5546875" style="118" customWidth="1"/>
    <col min="11536" max="11536" width="0" style="118" hidden="1" customWidth="1"/>
    <col min="11537" max="11537" width="13.109375" style="118" customWidth="1"/>
    <col min="11538" max="11538" width="12" style="118" customWidth="1"/>
    <col min="11539" max="11539" width="12.5546875" style="118" customWidth="1"/>
    <col min="11540" max="11543" width="17.6640625" style="118" customWidth="1"/>
    <col min="11544" max="11544" width="13.109375" style="118" customWidth="1"/>
    <col min="11545" max="11776" width="9.109375" style="118"/>
    <col min="11777" max="11777" width="50.109375" style="118" customWidth="1"/>
    <col min="11778" max="11778" width="11" style="118" customWidth="1"/>
    <col min="11779" max="11779" width="11.109375" style="118" customWidth="1"/>
    <col min="11780" max="11780" width="0" style="118" hidden="1" customWidth="1"/>
    <col min="11781" max="11781" width="9.6640625" style="118" customWidth="1"/>
    <col min="11782" max="11782" width="0" style="118" hidden="1" customWidth="1"/>
    <col min="11783" max="11783" width="9.5546875" style="118" customWidth="1"/>
    <col min="11784" max="11784" width="0" style="118" hidden="1" customWidth="1"/>
    <col min="11785" max="11785" width="9.5546875" style="118" customWidth="1"/>
    <col min="11786" max="11786" width="0" style="118" hidden="1" customWidth="1"/>
    <col min="11787" max="11787" width="9.5546875" style="118" customWidth="1"/>
    <col min="11788" max="11788" width="0" style="118" hidden="1" customWidth="1"/>
    <col min="11789" max="11789" width="9.88671875" style="118" customWidth="1"/>
    <col min="11790" max="11790" width="0" style="118" hidden="1" customWidth="1"/>
    <col min="11791" max="11791" width="9.5546875" style="118" customWidth="1"/>
    <col min="11792" max="11792" width="0" style="118" hidden="1" customWidth="1"/>
    <col min="11793" max="11793" width="13.109375" style="118" customWidth="1"/>
    <col min="11794" max="11794" width="12" style="118" customWidth="1"/>
    <col min="11795" max="11795" width="12.5546875" style="118" customWidth="1"/>
    <col min="11796" max="11799" width="17.6640625" style="118" customWidth="1"/>
    <col min="11800" max="11800" width="13.109375" style="118" customWidth="1"/>
    <col min="11801" max="12032" width="9.109375" style="118"/>
    <col min="12033" max="12033" width="50.109375" style="118" customWidth="1"/>
    <col min="12034" max="12034" width="11" style="118" customWidth="1"/>
    <col min="12035" max="12035" width="11.109375" style="118" customWidth="1"/>
    <col min="12036" max="12036" width="0" style="118" hidden="1" customWidth="1"/>
    <col min="12037" max="12037" width="9.6640625" style="118" customWidth="1"/>
    <col min="12038" max="12038" width="0" style="118" hidden="1" customWidth="1"/>
    <col min="12039" max="12039" width="9.5546875" style="118" customWidth="1"/>
    <col min="12040" max="12040" width="0" style="118" hidden="1" customWidth="1"/>
    <col min="12041" max="12041" width="9.5546875" style="118" customWidth="1"/>
    <col min="12042" max="12042" width="0" style="118" hidden="1" customWidth="1"/>
    <col min="12043" max="12043" width="9.5546875" style="118" customWidth="1"/>
    <col min="12044" max="12044" width="0" style="118" hidden="1" customWidth="1"/>
    <col min="12045" max="12045" width="9.88671875" style="118" customWidth="1"/>
    <col min="12046" max="12046" width="0" style="118" hidden="1" customWidth="1"/>
    <col min="12047" max="12047" width="9.5546875" style="118" customWidth="1"/>
    <col min="12048" max="12048" width="0" style="118" hidden="1" customWidth="1"/>
    <col min="12049" max="12049" width="13.109375" style="118" customWidth="1"/>
    <col min="12050" max="12050" width="12" style="118" customWidth="1"/>
    <col min="12051" max="12051" width="12.5546875" style="118" customWidth="1"/>
    <col min="12052" max="12055" width="17.6640625" style="118" customWidth="1"/>
    <col min="12056" max="12056" width="13.109375" style="118" customWidth="1"/>
    <col min="12057" max="12288" width="9.109375" style="118"/>
    <col min="12289" max="12289" width="50.109375" style="118" customWidth="1"/>
    <col min="12290" max="12290" width="11" style="118" customWidth="1"/>
    <col min="12291" max="12291" width="11.109375" style="118" customWidth="1"/>
    <col min="12292" max="12292" width="0" style="118" hidden="1" customWidth="1"/>
    <col min="12293" max="12293" width="9.6640625" style="118" customWidth="1"/>
    <col min="12294" max="12294" width="0" style="118" hidden="1" customWidth="1"/>
    <col min="12295" max="12295" width="9.5546875" style="118" customWidth="1"/>
    <col min="12296" max="12296" width="0" style="118" hidden="1" customWidth="1"/>
    <col min="12297" max="12297" width="9.5546875" style="118" customWidth="1"/>
    <col min="12298" max="12298" width="0" style="118" hidden="1" customWidth="1"/>
    <col min="12299" max="12299" width="9.5546875" style="118" customWidth="1"/>
    <col min="12300" max="12300" width="0" style="118" hidden="1" customWidth="1"/>
    <col min="12301" max="12301" width="9.88671875" style="118" customWidth="1"/>
    <col min="12302" max="12302" width="0" style="118" hidden="1" customWidth="1"/>
    <col min="12303" max="12303" width="9.5546875" style="118" customWidth="1"/>
    <col min="12304" max="12304" width="0" style="118" hidden="1" customWidth="1"/>
    <col min="12305" max="12305" width="13.109375" style="118" customWidth="1"/>
    <col min="12306" max="12306" width="12" style="118" customWidth="1"/>
    <col min="12307" max="12307" width="12.5546875" style="118" customWidth="1"/>
    <col min="12308" max="12311" width="17.6640625" style="118" customWidth="1"/>
    <col min="12312" max="12312" width="13.109375" style="118" customWidth="1"/>
    <col min="12313" max="12544" width="9.109375" style="118"/>
    <col min="12545" max="12545" width="50.109375" style="118" customWidth="1"/>
    <col min="12546" max="12546" width="11" style="118" customWidth="1"/>
    <col min="12547" max="12547" width="11.109375" style="118" customWidth="1"/>
    <col min="12548" max="12548" width="0" style="118" hidden="1" customWidth="1"/>
    <col min="12549" max="12549" width="9.6640625" style="118" customWidth="1"/>
    <col min="12550" max="12550" width="0" style="118" hidden="1" customWidth="1"/>
    <col min="12551" max="12551" width="9.5546875" style="118" customWidth="1"/>
    <col min="12552" max="12552" width="0" style="118" hidden="1" customWidth="1"/>
    <col min="12553" max="12553" width="9.5546875" style="118" customWidth="1"/>
    <col min="12554" max="12554" width="0" style="118" hidden="1" customWidth="1"/>
    <col min="12555" max="12555" width="9.5546875" style="118" customWidth="1"/>
    <col min="12556" max="12556" width="0" style="118" hidden="1" customWidth="1"/>
    <col min="12557" max="12557" width="9.88671875" style="118" customWidth="1"/>
    <col min="12558" max="12558" width="0" style="118" hidden="1" customWidth="1"/>
    <col min="12559" max="12559" width="9.5546875" style="118" customWidth="1"/>
    <col min="12560" max="12560" width="0" style="118" hidden="1" customWidth="1"/>
    <col min="12561" max="12561" width="13.109375" style="118" customWidth="1"/>
    <col min="12562" max="12562" width="12" style="118" customWidth="1"/>
    <col min="12563" max="12563" width="12.5546875" style="118" customWidth="1"/>
    <col min="12564" max="12567" width="17.6640625" style="118" customWidth="1"/>
    <col min="12568" max="12568" width="13.109375" style="118" customWidth="1"/>
    <col min="12569" max="12800" width="9.109375" style="118"/>
    <col min="12801" max="12801" width="50.109375" style="118" customWidth="1"/>
    <col min="12802" max="12802" width="11" style="118" customWidth="1"/>
    <col min="12803" max="12803" width="11.109375" style="118" customWidth="1"/>
    <col min="12804" max="12804" width="0" style="118" hidden="1" customWidth="1"/>
    <col min="12805" max="12805" width="9.6640625" style="118" customWidth="1"/>
    <col min="12806" max="12806" width="0" style="118" hidden="1" customWidth="1"/>
    <col min="12807" max="12807" width="9.5546875" style="118" customWidth="1"/>
    <col min="12808" max="12808" width="0" style="118" hidden="1" customWidth="1"/>
    <col min="12809" max="12809" width="9.5546875" style="118" customWidth="1"/>
    <col min="12810" max="12810" width="0" style="118" hidden="1" customWidth="1"/>
    <col min="12811" max="12811" width="9.5546875" style="118" customWidth="1"/>
    <col min="12812" max="12812" width="0" style="118" hidden="1" customWidth="1"/>
    <col min="12813" max="12813" width="9.88671875" style="118" customWidth="1"/>
    <col min="12814" max="12814" width="0" style="118" hidden="1" customWidth="1"/>
    <col min="12815" max="12815" width="9.5546875" style="118" customWidth="1"/>
    <col min="12816" max="12816" width="0" style="118" hidden="1" customWidth="1"/>
    <col min="12817" max="12817" width="13.109375" style="118" customWidth="1"/>
    <col min="12818" max="12818" width="12" style="118" customWidth="1"/>
    <col min="12819" max="12819" width="12.5546875" style="118" customWidth="1"/>
    <col min="12820" max="12823" width="17.6640625" style="118" customWidth="1"/>
    <col min="12824" max="12824" width="13.109375" style="118" customWidth="1"/>
    <col min="12825" max="13056" width="9.109375" style="118"/>
    <col min="13057" max="13057" width="50.109375" style="118" customWidth="1"/>
    <col min="13058" max="13058" width="11" style="118" customWidth="1"/>
    <col min="13059" max="13059" width="11.109375" style="118" customWidth="1"/>
    <col min="13060" max="13060" width="0" style="118" hidden="1" customWidth="1"/>
    <col min="13061" max="13061" width="9.6640625" style="118" customWidth="1"/>
    <col min="13062" max="13062" width="0" style="118" hidden="1" customWidth="1"/>
    <col min="13063" max="13063" width="9.5546875" style="118" customWidth="1"/>
    <col min="13064" max="13064" width="0" style="118" hidden="1" customWidth="1"/>
    <col min="13065" max="13065" width="9.5546875" style="118" customWidth="1"/>
    <col min="13066" max="13066" width="0" style="118" hidden="1" customWidth="1"/>
    <col min="13067" max="13067" width="9.5546875" style="118" customWidth="1"/>
    <col min="13068" max="13068" width="0" style="118" hidden="1" customWidth="1"/>
    <col min="13069" max="13069" width="9.88671875" style="118" customWidth="1"/>
    <col min="13070" max="13070" width="0" style="118" hidden="1" customWidth="1"/>
    <col min="13071" max="13071" width="9.5546875" style="118" customWidth="1"/>
    <col min="13072" max="13072" width="0" style="118" hidden="1" customWidth="1"/>
    <col min="13073" max="13073" width="13.109375" style="118" customWidth="1"/>
    <col min="13074" max="13074" width="12" style="118" customWidth="1"/>
    <col min="13075" max="13075" width="12.5546875" style="118" customWidth="1"/>
    <col min="13076" max="13079" width="17.6640625" style="118" customWidth="1"/>
    <col min="13080" max="13080" width="13.109375" style="118" customWidth="1"/>
    <col min="13081" max="13312" width="9.109375" style="118"/>
    <col min="13313" max="13313" width="50.109375" style="118" customWidth="1"/>
    <col min="13314" max="13314" width="11" style="118" customWidth="1"/>
    <col min="13315" max="13315" width="11.109375" style="118" customWidth="1"/>
    <col min="13316" max="13316" width="0" style="118" hidden="1" customWidth="1"/>
    <col min="13317" max="13317" width="9.6640625" style="118" customWidth="1"/>
    <col min="13318" max="13318" width="0" style="118" hidden="1" customWidth="1"/>
    <col min="13319" max="13319" width="9.5546875" style="118" customWidth="1"/>
    <col min="13320" max="13320" width="0" style="118" hidden="1" customWidth="1"/>
    <col min="13321" max="13321" width="9.5546875" style="118" customWidth="1"/>
    <col min="13322" max="13322" width="0" style="118" hidden="1" customWidth="1"/>
    <col min="13323" max="13323" width="9.5546875" style="118" customWidth="1"/>
    <col min="13324" max="13324" width="0" style="118" hidden="1" customWidth="1"/>
    <col min="13325" max="13325" width="9.88671875" style="118" customWidth="1"/>
    <col min="13326" max="13326" width="0" style="118" hidden="1" customWidth="1"/>
    <col min="13327" max="13327" width="9.5546875" style="118" customWidth="1"/>
    <col min="13328" max="13328" width="0" style="118" hidden="1" customWidth="1"/>
    <col min="13329" max="13329" width="13.109375" style="118" customWidth="1"/>
    <col min="13330" max="13330" width="12" style="118" customWidth="1"/>
    <col min="13331" max="13331" width="12.5546875" style="118" customWidth="1"/>
    <col min="13332" max="13335" width="17.6640625" style="118" customWidth="1"/>
    <col min="13336" max="13336" width="13.109375" style="118" customWidth="1"/>
    <col min="13337" max="13568" width="9.109375" style="118"/>
    <col min="13569" max="13569" width="50.109375" style="118" customWidth="1"/>
    <col min="13570" max="13570" width="11" style="118" customWidth="1"/>
    <col min="13571" max="13571" width="11.109375" style="118" customWidth="1"/>
    <col min="13572" max="13572" width="0" style="118" hidden="1" customWidth="1"/>
    <col min="13573" max="13573" width="9.6640625" style="118" customWidth="1"/>
    <col min="13574" max="13574" width="0" style="118" hidden="1" customWidth="1"/>
    <col min="13575" max="13575" width="9.5546875" style="118" customWidth="1"/>
    <col min="13576" max="13576" width="0" style="118" hidden="1" customWidth="1"/>
    <col min="13577" max="13577" width="9.5546875" style="118" customWidth="1"/>
    <col min="13578" max="13578" width="0" style="118" hidden="1" customWidth="1"/>
    <col min="13579" max="13579" width="9.5546875" style="118" customWidth="1"/>
    <col min="13580" max="13580" width="0" style="118" hidden="1" customWidth="1"/>
    <col min="13581" max="13581" width="9.88671875" style="118" customWidth="1"/>
    <col min="13582" max="13582" width="0" style="118" hidden="1" customWidth="1"/>
    <col min="13583" max="13583" width="9.5546875" style="118" customWidth="1"/>
    <col min="13584" max="13584" width="0" style="118" hidden="1" customWidth="1"/>
    <col min="13585" max="13585" width="13.109375" style="118" customWidth="1"/>
    <col min="13586" max="13586" width="12" style="118" customWidth="1"/>
    <col min="13587" max="13587" width="12.5546875" style="118" customWidth="1"/>
    <col min="13588" max="13591" width="17.6640625" style="118" customWidth="1"/>
    <col min="13592" max="13592" width="13.109375" style="118" customWidth="1"/>
    <col min="13593" max="13824" width="9.109375" style="118"/>
    <col min="13825" max="13825" width="50.109375" style="118" customWidth="1"/>
    <col min="13826" max="13826" width="11" style="118" customWidth="1"/>
    <col min="13827" max="13827" width="11.109375" style="118" customWidth="1"/>
    <col min="13828" max="13828" width="0" style="118" hidden="1" customWidth="1"/>
    <col min="13829" max="13829" width="9.6640625" style="118" customWidth="1"/>
    <col min="13830" max="13830" width="0" style="118" hidden="1" customWidth="1"/>
    <col min="13831" max="13831" width="9.5546875" style="118" customWidth="1"/>
    <col min="13832" max="13832" width="0" style="118" hidden="1" customWidth="1"/>
    <col min="13833" max="13833" width="9.5546875" style="118" customWidth="1"/>
    <col min="13834" max="13834" width="0" style="118" hidden="1" customWidth="1"/>
    <col min="13835" max="13835" width="9.5546875" style="118" customWidth="1"/>
    <col min="13836" max="13836" width="0" style="118" hidden="1" customWidth="1"/>
    <col min="13837" max="13837" width="9.88671875" style="118" customWidth="1"/>
    <col min="13838" max="13838" width="0" style="118" hidden="1" customWidth="1"/>
    <col min="13839" max="13839" width="9.5546875" style="118" customWidth="1"/>
    <col min="13840" max="13840" width="0" style="118" hidden="1" customWidth="1"/>
    <col min="13841" max="13841" width="13.109375" style="118" customWidth="1"/>
    <col min="13842" max="13842" width="12" style="118" customWidth="1"/>
    <col min="13843" max="13843" width="12.5546875" style="118" customWidth="1"/>
    <col min="13844" max="13847" width="17.6640625" style="118" customWidth="1"/>
    <col min="13848" max="13848" width="13.109375" style="118" customWidth="1"/>
    <col min="13849" max="14080" width="9.109375" style="118"/>
    <col min="14081" max="14081" width="50.109375" style="118" customWidth="1"/>
    <col min="14082" max="14082" width="11" style="118" customWidth="1"/>
    <col min="14083" max="14083" width="11.109375" style="118" customWidth="1"/>
    <col min="14084" max="14084" width="0" style="118" hidden="1" customWidth="1"/>
    <col min="14085" max="14085" width="9.6640625" style="118" customWidth="1"/>
    <col min="14086" max="14086" width="0" style="118" hidden="1" customWidth="1"/>
    <col min="14087" max="14087" width="9.5546875" style="118" customWidth="1"/>
    <col min="14088" max="14088" width="0" style="118" hidden="1" customWidth="1"/>
    <col min="14089" max="14089" width="9.5546875" style="118" customWidth="1"/>
    <col min="14090" max="14090" width="0" style="118" hidden="1" customWidth="1"/>
    <col min="14091" max="14091" width="9.5546875" style="118" customWidth="1"/>
    <col min="14092" max="14092" width="0" style="118" hidden="1" customWidth="1"/>
    <col min="14093" max="14093" width="9.88671875" style="118" customWidth="1"/>
    <col min="14094" max="14094" width="0" style="118" hidden="1" customWidth="1"/>
    <col min="14095" max="14095" width="9.5546875" style="118" customWidth="1"/>
    <col min="14096" max="14096" width="0" style="118" hidden="1" customWidth="1"/>
    <col min="14097" max="14097" width="13.109375" style="118" customWidth="1"/>
    <col min="14098" max="14098" width="12" style="118" customWidth="1"/>
    <col min="14099" max="14099" width="12.5546875" style="118" customWidth="1"/>
    <col min="14100" max="14103" width="17.6640625" style="118" customWidth="1"/>
    <col min="14104" max="14104" width="13.109375" style="118" customWidth="1"/>
    <col min="14105" max="14336" width="9.109375" style="118"/>
    <col min="14337" max="14337" width="50.109375" style="118" customWidth="1"/>
    <col min="14338" max="14338" width="11" style="118" customWidth="1"/>
    <col min="14339" max="14339" width="11.109375" style="118" customWidth="1"/>
    <col min="14340" max="14340" width="0" style="118" hidden="1" customWidth="1"/>
    <col min="14341" max="14341" width="9.6640625" style="118" customWidth="1"/>
    <col min="14342" max="14342" width="0" style="118" hidden="1" customWidth="1"/>
    <col min="14343" max="14343" width="9.5546875" style="118" customWidth="1"/>
    <col min="14344" max="14344" width="0" style="118" hidden="1" customWidth="1"/>
    <col min="14345" max="14345" width="9.5546875" style="118" customWidth="1"/>
    <col min="14346" max="14346" width="0" style="118" hidden="1" customWidth="1"/>
    <col min="14347" max="14347" width="9.5546875" style="118" customWidth="1"/>
    <col min="14348" max="14348" width="0" style="118" hidden="1" customWidth="1"/>
    <col min="14349" max="14349" width="9.88671875" style="118" customWidth="1"/>
    <col min="14350" max="14350" width="0" style="118" hidden="1" customWidth="1"/>
    <col min="14351" max="14351" width="9.5546875" style="118" customWidth="1"/>
    <col min="14352" max="14352" width="0" style="118" hidden="1" customWidth="1"/>
    <col min="14353" max="14353" width="13.109375" style="118" customWidth="1"/>
    <col min="14354" max="14354" width="12" style="118" customWidth="1"/>
    <col min="14355" max="14355" width="12.5546875" style="118" customWidth="1"/>
    <col min="14356" max="14359" width="17.6640625" style="118" customWidth="1"/>
    <col min="14360" max="14360" width="13.109375" style="118" customWidth="1"/>
    <col min="14361" max="14592" width="9.109375" style="118"/>
    <col min="14593" max="14593" width="50.109375" style="118" customWidth="1"/>
    <col min="14594" max="14594" width="11" style="118" customWidth="1"/>
    <col min="14595" max="14595" width="11.109375" style="118" customWidth="1"/>
    <col min="14596" max="14596" width="0" style="118" hidden="1" customWidth="1"/>
    <col min="14597" max="14597" width="9.6640625" style="118" customWidth="1"/>
    <col min="14598" max="14598" width="0" style="118" hidden="1" customWidth="1"/>
    <col min="14599" max="14599" width="9.5546875" style="118" customWidth="1"/>
    <col min="14600" max="14600" width="0" style="118" hidden="1" customWidth="1"/>
    <col min="14601" max="14601" width="9.5546875" style="118" customWidth="1"/>
    <col min="14602" max="14602" width="0" style="118" hidden="1" customWidth="1"/>
    <col min="14603" max="14603" width="9.5546875" style="118" customWidth="1"/>
    <col min="14604" max="14604" width="0" style="118" hidden="1" customWidth="1"/>
    <col min="14605" max="14605" width="9.88671875" style="118" customWidth="1"/>
    <col min="14606" max="14606" width="0" style="118" hidden="1" customWidth="1"/>
    <col min="14607" max="14607" width="9.5546875" style="118" customWidth="1"/>
    <col min="14608" max="14608" width="0" style="118" hidden="1" customWidth="1"/>
    <col min="14609" max="14609" width="13.109375" style="118" customWidth="1"/>
    <col min="14610" max="14610" width="12" style="118" customWidth="1"/>
    <col min="14611" max="14611" width="12.5546875" style="118" customWidth="1"/>
    <col min="14612" max="14615" width="17.6640625" style="118" customWidth="1"/>
    <col min="14616" max="14616" width="13.109375" style="118" customWidth="1"/>
    <col min="14617" max="14848" width="9.109375" style="118"/>
    <col min="14849" max="14849" width="50.109375" style="118" customWidth="1"/>
    <col min="14850" max="14850" width="11" style="118" customWidth="1"/>
    <col min="14851" max="14851" width="11.109375" style="118" customWidth="1"/>
    <col min="14852" max="14852" width="0" style="118" hidden="1" customWidth="1"/>
    <col min="14853" max="14853" width="9.6640625" style="118" customWidth="1"/>
    <col min="14854" max="14854" width="0" style="118" hidden="1" customWidth="1"/>
    <col min="14855" max="14855" width="9.5546875" style="118" customWidth="1"/>
    <col min="14856" max="14856" width="0" style="118" hidden="1" customWidth="1"/>
    <col min="14857" max="14857" width="9.5546875" style="118" customWidth="1"/>
    <col min="14858" max="14858" width="0" style="118" hidden="1" customWidth="1"/>
    <col min="14859" max="14859" width="9.5546875" style="118" customWidth="1"/>
    <col min="14860" max="14860" width="0" style="118" hidden="1" customWidth="1"/>
    <col min="14861" max="14861" width="9.88671875" style="118" customWidth="1"/>
    <col min="14862" max="14862" width="0" style="118" hidden="1" customWidth="1"/>
    <col min="14863" max="14863" width="9.5546875" style="118" customWidth="1"/>
    <col min="14864" max="14864" width="0" style="118" hidden="1" customWidth="1"/>
    <col min="14865" max="14865" width="13.109375" style="118" customWidth="1"/>
    <col min="14866" max="14866" width="12" style="118" customWidth="1"/>
    <col min="14867" max="14867" width="12.5546875" style="118" customWidth="1"/>
    <col min="14868" max="14871" width="17.6640625" style="118" customWidth="1"/>
    <col min="14872" max="14872" width="13.109375" style="118" customWidth="1"/>
    <col min="14873" max="15104" width="9.109375" style="118"/>
    <col min="15105" max="15105" width="50.109375" style="118" customWidth="1"/>
    <col min="15106" max="15106" width="11" style="118" customWidth="1"/>
    <col min="15107" max="15107" width="11.109375" style="118" customWidth="1"/>
    <col min="15108" max="15108" width="0" style="118" hidden="1" customWidth="1"/>
    <col min="15109" max="15109" width="9.6640625" style="118" customWidth="1"/>
    <col min="15110" max="15110" width="0" style="118" hidden="1" customWidth="1"/>
    <col min="15111" max="15111" width="9.5546875" style="118" customWidth="1"/>
    <col min="15112" max="15112" width="0" style="118" hidden="1" customWidth="1"/>
    <col min="15113" max="15113" width="9.5546875" style="118" customWidth="1"/>
    <col min="15114" max="15114" width="0" style="118" hidden="1" customWidth="1"/>
    <col min="15115" max="15115" width="9.5546875" style="118" customWidth="1"/>
    <col min="15116" max="15116" width="0" style="118" hidden="1" customWidth="1"/>
    <col min="15117" max="15117" width="9.88671875" style="118" customWidth="1"/>
    <col min="15118" max="15118" width="0" style="118" hidden="1" customWidth="1"/>
    <col min="15119" max="15119" width="9.5546875" style="118" customWidth="1"/>
    <col min="15120" max="15120" width="0" style="118" hidden="1" customWidth="1"/>
    <col min="15121" max="15121" width="13.109375" style="118" customWidth="1"/>
    <col min="15122" max="15122" width="12" style="118" customWidth="1"/>
    <col min="15123" max="15123" width="12.5546875" style="118" customWidth="1"/>
    <col min="15124" max="15127" width="17.6640625" style="118" customWidth="1"/>
    <col min="15128" max="15128" width="13.109375" style="118" customWidth="1"/>
    <col min="15129" max="15360" width="9.109375" style="118"/>
    <col min="15361" max="15361" width="50.109375" style="118" customWidth="1"/>
    <col min="15362" max="15362" width="11" style="118" customWidth="1"/>
    <col min="15363" max="15363" width="11.109375" style="118" customWidth="1"/>
    <col min="15364" max="15364" width="0" style="118" hidden="1" customWidth="1"/>
    <col min="15365" max="15365" width="9.6640625" style="118" customWidth="1"/>
    <col min="15366" max="15366" width="0" style="118" hidden="1" customWidth="1"/>
    <col min="15367" max="15367" width="9.5546875" style="118" customWidth="1"/>
    <col min="15368" max="15368" width="0" style="118" hidden="1" customWidth="1"/>
    <col min="15369" max="15369" width="9.5546875" style="118" customWidth="1"/>
    <col min="15370" max="15370" width="0" style="118" hidden="1" customWidth="1"/>
    <col min="15371" max="15371" width="9.5546875" style="118" customWidth="1"/>
    <col min="15372" max="15372" width="0" style="118" hidden="1" customWidth="1"/>
    <col min="15373" max="15373" width="9.88671875" style="118" customWidth="1"/>
    <col min="15374" max="15374" width="0" style="118" hidden="1" customWidth="1"/>
    <col min="15375" max="15375" width="9.5546875" style="118" customWidth="1"/>
    <col min="15376" max="15376" width="0" style="118" hidden="1" customWidth="1"/>
    <col min="15377" max="15377" width="13.109375" style="118" customWidth="1"/>
    <col min="15378" max="15378" width="12" style="118" customWidth="1"/>
    <col min="15379" max="15379" width="12.5546875" style="118" customWidth="1"/>
    <col min="15380" max="15383" width="17.6640625" style="118" customWidth="1"/>
    <col min="15384" max="15384" width="13.109375" style="118" customWidth="1"/>
    <col min="15385" max="15616" width="9.109375" style="118"/>
    <col min="15617" max="15617" width="50.109375" style="118" customWidth="1"/>
    <col min="15618" max="15618" width="11" style="118" customWidth="1"/>
    <col min="15619" max="15619" width="11.109375" style="118" customWidth="1"/>
    <col min="15620" max="15620" width="0" style="118" hidden="1" customWidth="1"/>
    <col min="15621" max="15621" width="9.6640625" style="118" customWidth="1"/>
    <col min="15622" max="15622" width="0" style="118" hidden="1" customWidth="1"/>
    <col min="15623" max="15623" width="9.5546875" style="118" customWidth="1"/>
    <col min="15624" max="15624" width="0" style="118" hidden="1" customWidth="1"/>
    <col min="15625" max="15625" width="9.5546875" style="118" customWidth="1"/>
    <col min="15626" max="15626" width="0" style="118" hidden="1" customWidth="1"/>
    <col min="15627" max="15627" width="9.5546875" style="118" customWidth="1"/>
    <col min="15628" max="15628" width="0" style="118" hidden="1" customWidth="1"/>
    <col min="15629" max="15629" width="9.88671875" style="118" customWidth="1"/>
    <col min="15630" max="15630" width="0" style="118" hidden="1" customWidth="1"/>
    <col min="15631" max="15631" width="9.5546875" style="118" customWidth="1"/>
    <col min="15632" max="15632" width="0" style="118" hidden="1" customWidth="1"/>
    <col min="15633" max="15633" width="13.109375" style="118" customWidth="1"/>
    <col min="15634" max="15634" width="12" style="118" customWidth="1"/>
    <col min="15635" max="15635" width="12.5546875" style="118" customWidth="1"/>
    <col min="15636" max="15639" width="17.6640625" style="118" customWidth="1"/>
    <col min="15640" max="15640" width="13.109375" style="118" customWidth="1"/>
    <col min="15641" max="15872" width="9.109375" style="118"/>
    <col min="15873" max="15873" width="50.109375" style="118" customWidth="1"/>
    <col min="15874" max="15874" width="11" style="118" customWidth="1"/>
    <col min="15875" max="15875" width="11.109375" style="118" customWidth="1"/>
    <col min="15876" max="15876" width="0" style="118" hidden="1" customWidth="1"/>
    <col min="15877" max="15877" width="9.6640625" style="118" customWidth="1"/>
    <col min="15878" max="15878" width="0" style="118" hidden="1" customWidth="1"/>
    <col min="15879" max="15879" width="9.5546875" style="118" customWidth="1"/>
    <col min="15880" max="15880" width="0" style="118" hidden="1" customWidth="1"/>
    <col min="15881" max="15881" width="9.5546875" style="118" customWidth="1"/>
    <col min="15882" max="15882" width="0" style="118" hidden="1" customWidth="1"/>
    <col min="15883" max="15883" width="9.5546875" style="118" customWidth="1"/>
    <col min="15884" max="15884" width="0" style="118" hidden="1" customWidth="1"/>
    <col min="15885" max="15885" width="9.88671875" style="118" customWidth="1"/>
    <col min="15886" max="15886" width="0" style="118" hidden="1" customWidth="1"/>
    <col min="15887" max="15887" width="9.5546875" style="118" customWidth="1"/>
    <col min="15888" max="15888" width="0" style="118" hidden="1" customWidth="1"/>
    <col min="15889" max="15889" width="13.109375" style="118" customWidth="1"/>
    <col min="15890" max="15890" width="12" style="118" customWidth="1"/>
    <col min="15891" max="15891" width="12.5546875" style="118" customWidth="1"/>
    <col min="15892" max="15895" width="17.6640625" style="118" customWidth="1"/>
    <col min="15896" max="15896" width="13.109375" style="118" customWidth="1"/>
    <col min="15897" max="16128" width="9.109375" style="118"/>
    <col min="16129" max="16129" width="50.109375" style="118" customWidth="1"/>
    <col min="16130" max="16130" width="11" style="118" customWidth="1"/>
    <col min="16131" max="16131" width="11.109375" style="118" customWidth="1"/>
    <col min="16132" max="16132" width="0" style="118" hidden="1" customWidth="1"/>
    <col min="16133" max="16133" width="9.6640625" style="118" customWidth="1"/>
    <col min="16134" max="16134" width="0" style="118" hidden="1" customWidth="1"/>
    <col min="16135" max="16135" width="9.5546875" style="118" customWidth="1"/>
    <col min="16136" max="16136" width="0" style="118" hidden="1" customWidth="1"/>
    <col min="16137" max="16137" width="9.5546875" style="118" customWidth="1"/>
    <col min="16138" max="16138" width="0" style="118" hidden="1" customWidth="1"/>
    <col min="16139" max="16139" width="9.5546875" style="118" customWidth="1"/>
    <col min="16140" max="16140" width="0" style="118" hidden="1" customWidth="1"/>
    <col min="16141" max="16141" width="9.88671875" style="118" customWidth="1"/>
    <col min="16142" max="16142" width="0" style="118" hidden="1" customWidth="1"/>
    <col min="16143" max="16143" width="9.5546875" style="118" customWidth="1"/>
    <col min="16144" max="16144" width="0" style="118" hidden="1" customWidth="1"/>
    <col min="16145" max="16145" width="13.109375" style="118" customWidth="1"/>
    <col min="16146" max="16146" width="12" style="118" customWidth="1"/>
    <col min="16147" max="16147" width="12.5546875" style="118" customWidth="1"/>
    <col min="16148" max="16151" width="17.6640625" style="118" customWidth="1"/>
    <col min="16152" max="16152" width="13.109375" style="118" customWidth="1"/>
    <col min="16153" max="16384" width="9.109375" style="118"/>
  </cols>
  <sheetData>
    <row r="2" spans="1:24" ht="22.5" customHeight="1">
      <c r="A2" s="877" t="s">
        <v>1215</v>
      </c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</row>
    <row r="3" spans="1:24" ht="17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1:24" ht="13.8" thickBot="1"/>
    <row r="5" spans="1:24" s="124" customFormat="1" ht="21" thickBot="1">
      <c r="A5" s="120" t="s">
        <v>1216</v>
      </c>
      <c r="B5" s="121" t="s">
        <v>1126</v>
      </c>
      <c r="C5" s="121" t="s">
        <v>1127</v>
      </c>
      <c r="D5" s="121" t="s">
        <v>1217</v>
      </c>
      <c r="E5" s="121" t="s">
        <v>1218</v>
      </c>
      <c r="F5" s="121" t="s">
        <v>1219</v>
      </c>
      <c r="G5" s="121" t="s">
        <v>1220</v>
      </c>
      <c r="H5" s="121" t="s">
        <v>1221</v>
      </c>
      <c r="I5" s="121" t="s">
        <v>1221</v>
      </c>
      <c r="J5" s="121" t="s">
        <v>1222</v>
      </c>
      <c r="K5" s="121" t="s">
        <v>1222</v>
      </c>
      <c r="L5" s="121" t="s">
        <v>1223</v>
      </c>
      <c r="M5" s="121" t="s">
        <v>1223</v>
      </c>
      <c r="N5" s="121" t="s">
        <v>1224</v>
      </c>
      <c r="O5" s="121" t="s">
        <v>1224</v>
      </c>
      <c r="P5" s="121"/>
      <c r="Q5" s="121" t="s">
        <v>1225</v>
      </c>
      <c r="R5" s="122" t="s">
        <v>1226</v>
      </c>
      <c r="S5" s="123"/>
      <c r="T5" s="123"/>
      <c r="U5" s="123"/>
      <c r="V5" s="123"/>
      <c r="W5" s="123"/>
      <c r="X5" s="123"/>
    </row>
    <row r="6" spans="1:24" ht="15.9" customHeight="1">
      <c r="A6" s="125" t="s">
        <v>1227</v>
      </c>
      <c r="B6" s="126">
        <f>636786749/1000</f>
        <v>636786.74899999995</v>
      </c>
      <c r="C6" s="126">
        <f t="shared" ref="C6:C11" si="0">B6</f>
        <v>636786.74899999995</v>
      </c>
      <c r="D6" s="126">
        <f>'[1]rok 2009-podklad'!B9</f>
        <v>96072787.159999996</v>
      </c>
      <c r="E6" s="126">
        <f t="shared" ref="E6:E11" si="1">D6/1000</f>
        <v>96072.787159999993</v>
      </c>
      <c r="F6" s="126">
        <f>'[1]rok 2009-podklad'!C9</f>
        <v>56456694</v>
      </c>
      <c r="G6" s="126">
        <f t="shared" ref="G6:G11" si="2">F6/1000</f>
        <v>56456.694000000003</v>
      </c>
      <c r="H6" s="126">
        <f>'[1]rok 2009-podklad'!D9</f>
        <v>47179235</v>
      </c>
      <c r="I6" s="126">
        <f t="shared" ref="I6:I11" si="3">H6/1000</f>
        <v>47179.235000000001</v>
      </c>
      <c r="J6" s="126">
        <f>'[1]rok 2009-podklad'!E9</f>
        <v>40148380</v>
      </c>
      <c r="K6" s="126">
        <f t="shared" ref="K6:K11" si="4">J6/1000</f>
        <v>40148.379999999997</v>
      </c>
      <c r="L6" s="126">
        <f>'[1]rok 2009-podklad'!F9</f>
        <v>46499804</v>
      </c>
      <c r="M6" s="126">
        <f t="shared" ref="M6:M11" si="5">L6/1000</f>
        <v>46499.803999999996</v>
      </c>
      <c r="N6" s="126">
        <f>'[1]rok 2009-podklad'!G9</f>
        <v>60716251</v>
      </c>
      <c r="O6" s="126">
        <f>N6/1000</f>
        <v>60716.250999999997</v>
      </c>
      <c r="P6" s="126"/>
      <c r="Q6" s="126">
        <f t="shared" ref="Q6:Q11" si="6">O6+M6+K6+I6+G6+E6</f>
        <v>347073.15116000001</v>
      </c>
      <c r="R6" s="127">
        <f>Q6/C6</f>
        <v>0.54503827490920365</v>
      </c>
      <c r="S6" s="128"/>
      <c r="T6" s="128"/>
      <c r="U6" s="128"/>
      <c r="V6" s="128"/>
      <c r="W6" s="128"/>
      <c r="X6" s="129"/>
    </row>
    <row r="7" spans="1:24" ht="15.9" customHeight="1">
      <c r="A7" s="130" t="s">
        <v>1228</v>
      </c>
      <c r="B7" s="131">
        <f>67743271/1000</f>
        <v>67743.270999999993</v>
      </c>
      <c r="C7" s="131">
        <f t="shared" si="0"/>
        <v>67743.270999999993</v>
      </c>
      <c r="D7" s="131">
        <f>'[1]rok 2009-podklad'!B11</f>
        <v>4450635.49</v>
      </c>
      <c r="E7" s="131">
        <f t="shared" si="1"/>
        <v>4450.6354900000006</v>
      </c>
      <c r="F7" s="131">
        <f>'[1]rok 2009-podklad'!C11</f>
        <v>812838</v>
      </c>
      <c r="G7" s="131">
        <f t="shared" si="2"/>
        <v>812.83799999999997</v>
      </c>
      <c r="H7" s="131">
        <f>'[1]rok 2009-podklad'!D11</f>
        <v>7109904</v>
      </c>
      <c r="I7" s="131">
        <f t="shared" si="3"/>
        <v>7109.9040000000005</v>
      </c>
      <c r="J7" s="131">
        <f>'[1]rok 2009-podklad'!E11</f>
        <v>0</v>
      </c>
      <c r="K7" s="131">
        <f t="shared" si="4"/>
        <v>0</v>
      </c>
      <c r="L7" s="131">
        <f>'[1]rok 2009-podklad'!F11</f>
        <v>0</v>
      </c>
      <c r="M7" s="131">
        <f t="shared" si="5"/>
        <v>0</v>
      </c>
      <c r="N7" s="131">
        <f>'[1]rok 2009-podklad'!G11</f>
        <v>0</v>
      </c>
      <c r="O7" s="131">
        <f>N7/1000</f>
        <v>0</v>
      </c>
      <c r="P7" s="131"/>
      <c r="Q7" s="131">
        <f t="shared" si="6"/>
        <v>12373.377490000001</v>
      </c>
      <c r="R7" s="132">
        <f>Q7/C7</f>
        <v>0.18265101916912163</v>
      </c>
      <c r="S7" s="128"/>
      <c r="T7" s="128"/>
      <c r="U7" s="128"/>
      <c r="V7" s="128"/>
      <c r="W7" s="128"/>
      <c r="X7" s="129"/>
    </row>
    <row r="8" spans="1:24" ht="15.9" customHeight="1">
      <c r="A8" s="130" t="s">
        <v>1229</v>
      </c>
      <c r="B8" s="131">
        <f>60968944/1000</f>
        <v>60968.944000000003</v>
      </c>
      <c r="C8" s="131">
        <f t="shared" si="0"/>
        <v>60968.944000000003</v>
      </c>
      <c r="D8" s="131">
        <f>'[1]rok 2009-podklad'!B10</f>
        <v>6046181.8700000001</v>
      </c>
      <c r="E8" s="131">
        <f t="shared" si="1"/>
        <v>6046.1818700000003</v>
      </c>
      <c r="F8" s="131">
        <f>'[1]rok 2009-podklad'!C10</f>
        <v>5916725</v>
      </c>
      <c r="G8" s="131">
        <f t="shared" si="2"/>
        <v>5916.7250000000004</v>
      </c>
      <c r="H8" s="131">
        <f>'[1]rok 2009-podklad'!D10</f>
        <v>3841963</v>
      </c>
      <c r="I8" s="131">
        <f t="shared" si="3"/>
        <v>3841.9630000000002</v>
      </c>
      <c r="J8" s="131">
        <f>'[1]rok 2009-podklad'!E10</f>
        <v>4220952</v>
      </c>
      <c r="K8" s="131">
        <f t="shared" si="4"/>
        <v>4220.9520000000002</v>
      </c>
      <c r="L8" s="131">
        <f>'[1]rok 2009-podklad'!F10</f>
        <v>5461398</v>
      </c>
      <c r="M8" s="131">
        <f t="shared" si="5"/>
        <v>5461.3980000000001</v>
      </c>
      <c r="N8" s="131">
        <f>'[1]rok 2009-podklad'!G10</f>
        <v>4915544</v>
      </c>
      <c r="O8" s="131">
        <f>N8/1000</f>
        <v>4915.5439999999999</v>
      </c>
      <c r="P8" s="131"/>
      <c r="Q8" s="131">
        <f t="shared" si="6"/>
        <v>30402.763870000002</v>
      </c>
      <c r="R8" s="132">
        <f>Q8/C8</f>
        <v>0.49865984016387099</v>
      </c>
      <c r="S8" s="128"/>
      <c r="T8" s="128"/>
      <c r="U8" s="128"/>
      <c r="V8" s="128"/>
      <c r="W8" s="128"/>
      <c r="X8" s="129"/>
    </row>
    <row r="9" spans="1:24" ht="15.9" customHeight="1">
      <c r="A9" s="130" t="s">
        <v>1230</v>
      </c>
      <c r="B9" s="131">
        <f>867113872/1000</f>
        <v>867113.87199999997</v>
      </c>
      <c r="C9" s="131">
        <f t="shared" si="0"/>
        <v>867113.87199999997</v>
      </c>
      <c r="D9" s="131">
        <f>'[1]rok 2009-podklad'!B12</f>
        <v>120457251.93000001</v>
      </c>
      <c r="E9" s="131">
        <f t="shared" si="1"/>
        <v>120457.25193000001</v>
      </c>
      <c r="F9" s="131">
        <f>'[1]rok 2009-podklad'!C12</f>
        <v>5489468</v>
      </c>
      <c r="G9" s="131">
        <f t="shared" si="2"/>
        <v>5489.4679999999998</v>
      </c>
      <c r="H9" s="131">
        <f>'[1]rok 2009-podklad'!D12</f>
        <v>156896626</v>
      </c>
      <c r="I9" s="131">
        <f t="shared" si="3"/>
        <v>156896.62599999999</v>
      </c>
      <c r="J9" s="131">
        <f>'[1]rok 2009-podklad'!E12</f>
        <v>37762293</v>
      </c>
      <c r="K9" s="131">
        <f t="shared" si="4"/>
        <v>37762.292999999998</v>
      </c>
      <c r="L9" s="131">
        <f>'[1]rok 2009-podklad'!F12</f>
        <v>0</v>
      </c>
      <c r="M9" s="131">
        <f t="shared" si="5"/>
        <v>0</v>
      </c>
      <c r="N9" s="131">
        <f>'[1]rok 2009-podklad'!G12</f>
        <v>151063457</v>
      </c>
      <c r="O9" s="131">
        <f>N9/1000</f>
        <v>151063.45699999999</v>
      </c>
      <c r="P9" s="131"/>
      <c r="Q9" s="131">
        <f t="shared" si="6"/>
        <v>471669.09593000001</v>
      </c>
      <c r="R9" s="132">
        <f>Q9/C9</f>
        <v>0.54395288918869933</v>
      </c>
      <c r="S9" s="128"/>
      <c r="T9" s="128"/>
      <c r="U9" s="128"/>
      <c r="V9" s="128"/>
      <c r="W9" s="128"/>
      <c r="X9" s="129"/>
    </row>
    <row r="10" spans="1:24" ht="15.9" customHeight="1">
      <c r="A10" s="130" t="s">
        <v>1231</v>
      </c>
      <c r="B10" s="131">
        <v>0</v>
      </c>
      <c r="C10" s="131">
        <f t="shared" si="0"/>
        <v>0</v>
      </c>
      <c r="D10" s="131"/>
      <c r="E10" s="131">
        <f t="shared" si="1"/>
        <v>0</v>
      </c>
      <c r="F10" s="131"/>
      <c r="G10" s="131">
        <f t="shared" si="2"/>
        <v>0</v>
      </c>
      <c r="H10" s="131"/>
      <c r="I10" s="131">
        <f t="shared" si="3"/>
        <v>0</v>
      </c>
      <c r="J10" s="131"/>
      <c r="K10" s="131">
        <f t="shared" si="4"/>
        <v>0</v>
      </c>
      <c r="L10" s="131"/>
      <c r="M10" s="131">
        <f t="shared" si="5"/>
        <v>0</v>
      </c>
      <c r="N10" s="131"/>
      <c r="O10" s="131">
        <v>9307.5400000000009</v>
      </c>
      <c r="P10" s="131"/>
      <c r="Q10" s="131">
        <f t="shared" si="6"/>
        <v>9307.5400000000009</v>
      </c>
      <c r="R10" s="132" t="s">
        <v>1232</v>
      </c>
      <c r="S10" s="128"/>
      <c r="T10" s="128"/>
      <c r="U10" s="128"/>
      <c r="V10" s="128"/>
      <c r="W10" s="128"/>
      <c r="X10" s="129"/>
    </row>
    <row r="11" spans="1:24" ht="15.9" customHeight="1" thickBot="1">
      <c r="A11" s="133" t="s">
        <v>1233</v>
      </c>
      <c r="B11" s="134">
        <f>1639387164/1000</f>
        <v>1639387.1640000001</v>
      </c>
      <c r="C11" s="134">
        <f t="shared" si="0"/>
        <v>1639387.1640000001</v>
      </c>
      <c r="D11" s="134">
        <f>'[1]rok 2009-podklad'!B8</f>
        <v>135807673.84</v>
      </c>
      <c r="E11" s="134">
        <f t="shared" si="1"/>
        <v>135807.67384</v>
      </c>
      <c r="F11" s="134">
        <f>'[1]rok 2009-podklad'!C8</f>
        <v>266899802</v>
      </c>
      <c r="G11" s="134">
        <f t="shared" si="2"/>
        <v>266899.80200000003</v>
      </c>
      <c r="H11" s="134">
        <f>'[1]rok 2009-podklad'!D8</f>
        <v>12018705</v>
      </c>
      <c r="I11" s="134">
        <f t="shared" si="3"/>
        <v>12018.705</v>
      </c>
      <c r="J11" s="134">
        <f>'[1]rok 2009-podklad'!E8</f>
        <v>113372665</v>
      </c>
      <c r="K11" s="134">
        <f t="shared" si="4"/>
        <v>113372.66499999999</v>
      </c>
      <c r="L11" s="134">
        <f>'[1]rok 2009-podklad'!F8</f>
        <v>243668005</v>
      </c>
      <c r="M11" s="134">
        <f t="shared" si="5"/>
        <v>243668.005</v>
      </c>
      <c r="N11" s="134">
        <f>'[1]rok 2009-podklad'!G8</f>
        <v>50687539</v>
      </c>
      <c r="O11" s="134">
        <f>N11/1000</f>
        <v>50687.538999999997</v>
      </c>
      <c r="P11" s="134"/>
      <c r="Q11" s="134">
        <f t="shared" si="6"/>
        <v>822454.38984000008</v>
      </c>
      <c r="R11" s="135">
        <f>Q11/C11</f>
        <v>0.50168404871077787</v>
      </c>
      <c r="S11" s="128"/>
      <c r="T11" s="128"/>
      <c r="U11" s="128"/>
      <c r="V11" s="128"/>
      <c r="W11" s="128"/>
      <c r="X11" s="129"/>
    </row>
    <row r="12" spans="1:24" s="141" customFormat="1" ht="17.25" customHeight="1" thickBot="1">
      <c r="A12" s="136" t="s">
        <v>1234</v>
      </c>
      <c r="B12" s="137">
        <f t="shared" ref="B12:Q12" si="7">SUM(B6:B11)</f>
        <v>3272000</v>
      </c>
      <c r="C12" s="137">
        <f t="shared" si="7"/>
        <v>3272000</v>
      </c>
      <c r="D12" s="137">
        <f t="shared" si="7"/>
        <v>362834530.28999996</v>
      </c>
      <c r="E12" s="137">
        <f t="shared" si="7"/>
        <v>362834.53029000002</v>
      </c>
      <c r="F12" s="137">
        <f t="shared" si="7"/>
        <v>335575527</v>
      </c>
      <c r="G12" s="137">
        <f t="shared" si="7"/>
        <v>335575.527</v>
      </c>
      <c r="H12" s="137">
        <f t="shared" si="7"/>
        <v>227046433</v>
      </c>
      <c r="I12" s="137">
        <f t="shared" si="7"/>
        <v>227046.43299999999</v>
      </c>
      <c r="J12" s="137">
        <f t="shared" si="7"/>
        <v>195504290</v>
      </c>
      <c r="K12" s="137">
        <f t="shared" si="7"/>
        <v>195504.28999999998</v>
      </c>
      <c r="L12" s="137">
        <f t="shared" si="7"/>
        <v>295629207</v>
      </c>
      <c r="M12" s="137">
        <f t="shared" si="7"/>
        <v>295629.20699999999</v>
      </c>
      <c r="N12" s="137">
        <f t="shared" si="7"/>
        <v>267382791</v>
      </c>
      <c r="O12" s="137">
        <f t="shared" si="7"/>
        <v>276690.33100000001</v>
      </c>
      <c r="P12" s="137">
        <f t="shared" si="7"/>
        <v>0</v>
      </c>
      <c r="Q12" s="137">
        <f t="shared" si="7"/>
        <v>1693280.3182900001</v>
      </c>
      <c r="R12" s="138">
        <f>Q12/C12</f>
        <v>0.51750620974633255</v>
      </c>
      <c r="S12" s="139"/>
      <c r="T12" s="139"/>
      <c r="U12" s="139"/>
      <c r="V12" s="139"/>
      <c r="W12" s="139"/>
      <c r="X12" s="140"/>
    </row>
    <row r="17" spans="1:19" ht="21.75" customHeight="1">
      <c r="A17" s="877" t="s">
        <v>1235</v>
      </c>
      <c r="B17" s="877"/>
      <c r="C17" s="877"/>
      <c r="D17" s="877"/>
      <c r="E17" s="877"/>
      <c r="F17" s="877"/>
      <c r="G17" s="877"/>
      <c r="H17" s="877"/>
      <c r="I17" s="877"/>
      <c r="J17" s="877"/>
      <c r="K17" s="877"/>
      <c r="L17" s="877"/>
      <c r="M17" s="877"/>
      <c r="N17" s="877"/>
      <c r="O17" s="877"/>
      <c r="P17" s="877"/>
      <c r="Q17" s="877"/>
      <c r="R17" s="877"/>
    </row>
    <row r="18" spans="1:19" ht="17.2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</row>
    <row r="19" spans="1:19" ht="13.8" thickBot="1"/>
    <row r="20" spans="1:19" ht="31.2" thickBot="1">
      <c r="A20" s="120" t="s">
        <v>1216</v>
      </c>
      <c r="B20" s="121" t="s">
        <v>1126</v>
      </c>
      <c r="C20" s="121" t="s">
        <v>1127</v>
      </c>
      <c r="D20" s="121" t="s">
        <v>1236</v>
      </c>
      <c r="E20" s="121" t="s">
        <v>1237</v>
      </c>
      <c r="F20" s="121" t="s">
        <v>1238</v>
      </c>
      <c r="G20" s="121" t="s">
        <v>1239</v>
      </c>
      <c r="H20" s="121" t="s">
        <v>1240</v>
      </c>
      <c r="I20" s="121" t="s">
        <v>1240</v>
      </c>
      <c r="J20" s="121" t="s">
        <v>1241</v>
      </c>
      <c r="K20" s="121" t="s">
        <v>1242</v>
      </c>
      <c r="L20" s="121" t="s">
        <v>1243</v>
      </c>
      <c r="M20" s="121" t="s">
        <v>1243</v>
      </c>
      <c r="N20" s="121" t="s">
        <v>1244</v>
      </c>
      <c r="O20" s="121" t="s">
        <v>1245</v>
      </c>
      <c r="P20" s="121" t="s">
        <v>1128</v>
      </c>
      <c r="Q20" s="121" t="s">
        <v>1246</v>
      </c>
      <c r="R20" s="121" t="s">
        <v>1247</v>
      </c>
      <c r="S20" s="122" t="s">
        <v>1248</v>
      </c>
    </row>
    <row r="21" spans="1:19" ht="14.1" customHeight="1">
      <c r="A21" s="125" t="s">
        <v>1227</v>
      </c>
      <c r="B21" s="126">
        <f>636786749/1000</f>
        <v>636786.74899999995</v>
      </c>
      <c r="C21" s="126">
        <f>B21</f>
        <v>636786.74899999995</v>
      </c>
      <c r="D21" s="126">
        <f>'[1]rok 2009-podklad'!J9</f>
        <v>63200072</v>
      </c>
      <c r="E21" s="126">
        <f>D21/1000</f>
        <v>63200.072</v>
      </c>
      <c r="F21" s="126">
        <f>'[1]rok 2009-podklad'!K9</f>
        <v>59599533</v>
      </c>
      <c r="G21" s="126">
        <f>F21/1000</f>
        <v>59599.533000000003</v>
      </c>
      <c r="H21" s="126">
        <f>'[1]rok 2009-podklad'!L9</f>
        <v>64079783</v>
      </c>
      <c r="I21" s="126">
        <f t="shared" ref="I21:I26" si="8">H21/1000</f>
        <v>64079.783000000003</v>
      </c>
      <c r="J21" s="126">
        <f>'[1]rok 2009-podklad'!M9</f>
        <v>60910993</v>
      </c>
      <c r="K21" s="126">
        <f t="shared" ref="K21:K26" si="9">J21/1000</f>
        <v>60910.993000000002</v>
      </c>
      <c r="L21" s="126">
        <f>'[1]rok 2009-podklad'!N9</f>
        <v>61072344</v>
      </c>
      <c r="M21" s="131">
        <f t="shared" ref="M21:M26" si="10">L21/1000</f>
        <v>61072.343999999997</v>
      </c>
      <c r="N21" s="126">
        <f>'[1]rok 2009-podklad'!O9</f>
        <v>64062643.390000001</v>
      </c>
      <c r="O21" s="126">
        <f t="shared" ref="O21:O26" si="11">N21/1000</f>
        <v>64062.643389999997</v>
      </c>
      <c r="P21" s="126">
        <f t="shared" ref="P21:P26" si="12">D6+F6+H6+J6+L6+N6+D21+F21+H21+J21+L21+N21</f>
        <v>719998519.54999995</v>
      </c>
      <c r="Q21" s="126">
        <f>P21/1000</f>
        <v>719998.51954999997</v>
      </c>
      <c r="R21" s="142">
        <f t="shared" ref="R21:R27" si="13">Q21/C21</f>
        <v>1.1306744694054556</v>
      </c>
      <c r="S21" s="143">
        <f>Q21/Q27</f>
        <v>0.21434909399716998</v>
      </c>
    </row>
    <row r="22" spans="1:19" ht="14.1" customHeight="1">
      <c r="A22" s="130" t="s">
        <v>1228</v>
      </c>
      <c r="B22" s="131">
        <f>67743271/1000</f>
        <v>67743.270999999993</v>
      </c>
      <c r="C22" s="131">
        <f>B22</f>
        <v>67743.270999999993</v>
      </c>
      <c r="D22" s="131">
        <f>'[1]rok 2009-podklad'!J11</f>
        <v>5937992</v>
      </c>
      <c r="E22" s="131">
        <f>D22/1000</f>
        <v>5937.9920000000002</v>
      </c>
      <c r="F22" s="131">
        <f>'[1]rok 2009-podklad'!K11</f>
        <v>0</v>
      </c>
      <c r="G22" s="131">
        <f>F22/1000</f>
        <v>0</v>
      </c>
      <c r="H22" s="131">
        <f>'[1]rok 2009-podklad'!L11</f>
        <v>3887739</v>
      </c>
      <c r="I22" s="131">
        <f t="shared" si="8"/>
        <v>3887.739</v>
      </c>
      <c r="J22" s="131">
        <f>'[1]rok 2009-podklad'!M11</f>
        <v>1922194</v>
      </c>
      <c r="K22" s="131">
        <f t="shared" si="9"/>
        <v>1922.194</v>
      </c>
      <c r="L22" s="131">
        <f>'[1]rok 2009-podklad'!N11</f>
        <v>1076564</v>
      </c>
      <c r="M22" s="131">
        <f t="shared" si="10"/>
        <v>1076.5640000000001</v>
      </c>
      <c r="N22" s="131">
        <f>'[1]rok 2009-podklad'!O11</f>
        <v>4840544.12</v>
      </c>
      <c r="O22" s="131">
        <f t="shared" si="11"/>
        <v>4840.5441200000005</v>
      </c>
      <c r="P22" s="131">
        <f t="shared" si="12"/>
        <v>30038410.610000003</v>
      </c>
      <c r="Q22" s="131">
        <f>P22/1000</f>
        <v>30038.410610000003</v>
      </c>
      <c r="R22" s="144">
        <f t="shared" si="13"/>
        <v>0.44341541479448204</v>
      </c>
      <c r="S22" s="145">
        <f>Q22/Q27</f>
        <v>8.9426657479694249E-3</v>
      </c>
    </row>
    <row r="23" spans="1:19" ht="14.1" customHeight="1">
      <c r="A23" s="130" t="s">
        <v>1229</v>
      </c>
      <c r="B23" s="131">
        <f>60968944/1000</f>
        <v>60968.944000000003</v>
      </c>
      <c r="C23" s="131">
        <f>B23</f>
        <v>60968.944000000003</v>
      </c>
      <c r="D23" s="131">
        <f>'[1]rok 2009-podklad'!J10</f>
        <v>6008268</v>
      </c>
      <c r="E23" s="131">
        <f>D23/1000</f>
        <v>6008.268</v>
      </c>
      <c r="F23" s="131">
        <f>'[1]rok 2009-podklad'!K10</f>
        <v>6946171</v>
      </c>
      <c r="G23" s="131">
        <f>F23/1000</f>
        <v>6946.1710000000003</v>
      </c>
      <c r="H23" s="131">
        <f>'[1]rok 2009-podklad'!L10</f>
        <v>6796681</v>
      </c>
      <c r="I23" s="131">
        <f t="shared" si="8"/>
        <v>6796.6809999999996</v>
      </c>
      <c r="J23" s="131">
        <f>'[1]rok 2009-podklad'!M10</f>
        <v>5424809</v>
      </c>
      <c r="K23" s="131">
        <f t="shared" si="9"/>
        <v>5424.8090000000002</v>
      </c>
      <c r="L23" s="131">
        <f>'[1]rok 2009-podklad'!N10</f>
        <v>5998390</v>
      </c>
      <c r="M23" s="131">
        <f t="shared" si="10"/>
        <v>5998.39</v>
      </c>
      <c r="N23" s="131">
        <f>'[1]rok 2009-podklad'!O10</f>
        <v>4304494.91</v>
      </c>
      <c r="O23" s="131">
        <f t="shared" si="11"/>
        <v>4304.4949100000003</v>
      </c>
      <c r="P23" s="131">
        <f t="shared" si="12"/>
        <v>65881577.780000001</v>
      </c>
      <c r="Q23" s="131">
        <f>P23/1000</f>
        <v>65881.577780000007</v>
      </c>
      <c r="R23" s="144">
        <f t="shared" si="13"/>
        <v>1.0805760024316642</v>
      </c>
      <c r="S23" s="145">
        <f>Q23/Q27</f>
        <v>1.9613452145808775E-2</v>
      </c>
    </row>
    <row r="24" spans="1:19" ht="14.1" customHeight="1">
      <c r="A24" s="130" t="s">
        <v>1230</v>
      </c>
      <c r="B24" s="131">
        <f>867113872/1000</f>
        <v>867113.87199999997</v>
      </c>
      <c r="C24" s="131">
        <f>B24</f>
        <v>867113.87199999997</v>
      </c>
      <c r="D24" s="131">
        <f>'[1]rok 2009-podklad'!J12</f>
        <v>167523505</v>
      </c>
      <c r="E24" s="131">
        <f>D24/1000</f>
        <v>167523.505</v>
      </c>
      <c r="F24" s="131">
        <f>'[1]rok 2009-podklad'!K12</f>
        <v>0</v>
      </c>
      <c r="G24" s="131">
        <f>F24/1000</f>
        <v>0</v>
      </c>
      <c r="H24" s="131">
        <f>'[1]rok 2009-podklad'!L12</f>
        <v>101363522</v>
      </c>
      <c r="I24" s="131">
        <f t="shared" si="8"/>
        <v>101363.522</v>
      </c>
      <c r="J24" s="131">
        <f>'[1]rok 2009-podklad'!M12</f>
        <v>14508893</v>
      </c>
      <c r="K24" s="131">
        <f t="shared" si="9"/>
        <v>14508.893</v>
      </c>
      <c r="L24" s="131">
        <f>'[1]rok 2009-podklad'!N12</f>
        <v>7017025</v>
      </c>
      <c r="M24" s="131">
        <f t="shared" si="10"/>
        <v>7017.0249999999996</v>
      </c>
      <c r="N24" s="131">
        <f>'[1]rok 2009-podklad'!O12</f>
        <v>40315941.479999997</v>
      </c>
      <c r="O24" s="131">
        <f t="shared" si="11"/>
        <v>40315.941479999994</v>
      </c>
      <c r="P24" s="131">
        <f t="shared" si="12"/>
        <v>802397982.41000009</v>
      </c>
      <c r="Q24" s="131">
        <f>P24/1000</f>
        <v>802397.98241000006</v>
      </c>
      <c r="R24" s="144">
        <f t="shared" si="13"/>
        <v>0.9253663311362641</v>
      </c>
      <c r="S24" s="145">
        <f>Q24/Q27</f>
        <v>0.23888004750653749</v>
      </c>
    </row>
    <row r="25" spans="1:19" ht="14.1" customHeight="1">
      <c r="A25" s="130" t="s">
        <v>1249</v>
      </c>
      <c r="B25" s="131">
        <v>0</v>
      </c>
      <c r="C25" s="131">
        <v>9307.5400000000009</v>
      </c>
      <c r="D25" s="131">
        <v>0</v>
      </c>
      <c r="E25" s="131">
        <v>0</v>
      </c>
      <c r="F25" s="131"/>
      <c r="G25" s="131">
        <v>0</v>
      </c>
      <c r="H25" s="131"/>
      <c r="I25" s="131">
        <f t="shared" si="8"/>
        <v>0</v>
      </c>
      <c r="J25" s="131"/>
      <c r="K25" s="131">
        <f t="shared" si="9"/>
        <v>0</v>
      </c>
      <c r="L25" s="131"/>
      <c r="M25" s="131">
        <f t="shared" si="10"/>
        <v>0</v>
      </c>
      <c r="N25" s="131"/>
      <c r="O25" s="131">
        <f t="shared" si="11"/>
        <v>0</v>
      </c>
      <c r="P25" s="131">
        <f t="shared" si="12"/>
        <v>0</v>
      </c>
      <c r="Q25" s="131">
        <f>Q10</f>
        <v>9307.5400000000009</v>
      </c>
      <c r="R25" s="144">
        <f t="shared" si="13"/>
        <v>1</v>
      </c>
      <c r="S25" s="145">
        <f>Q25/Q27</f>
        <v>2.7709262063335027E-3</v>
      </c>
    </row>
    <row r="26" spans="1:19" ht="14.1" customHeight="1" thickBot="1">
      <c r="A26" s="133" t="s">
        <v>1233</v>
      </c>
      <c r="B26" s="134">
        <f>1639387164/1000</f>
        <v>1639387.1640000001</v>
      </c>
      <c r="C26" s="134">
        <f>B26+82365.5</f>
        <v>1721752.6640000001</v>
      </c>
      <c r="D26" s="134">
        <f>'[1]rok 2009-podklad'!J8</f>
        <v>135190824</v>
      </c>
      <c r="E26" s="134">
        <f>D26/1000</f>
        <v>135190.82399999999</v>
      </c>
      <c r="F26" s="134">
        <f>'[1]rok 2009-podklad'!K8</f>
        <v>272410340</v>
      </c>
      <c r="G26" s="134">
        <f>F26/1000</f>
        <v>272410.34000000003</v>
      </c>
      <c r="H26" s="134">
        <f>'[1]rok 2009-podklad'!L8</f>
        <v>51296247</v>
      </c>
      <c r="I26" s="134">
        <f t="shared" si="8"/>
        <v>51296.247000000003</v>
      </c>
      <c r="J26" s="134">
        <f>'[1]rok 2009-podklad'!M8</f>
        <v>133567470</v>
      </c>
      <c r="K26" s="134">
        <f t="shared" si="9"/>
        <v>133567.47</v>
      </c>
      <c r="L26" s="134">
        <f>'[1]rok 2009-podklad'!N8</f>
        <v>274034702</v>
      </c>
      <c r="M26" s="134">
        <f t="shared" si="10"/>
        <v>274034.70199999999</v>
      </c>
      <c r="N26" s="134">
        <f>'[1]rok 2009-podklad'!O8</f>
        <v>42421590.060000002</v>
      </c>
      <c r="O26" s="134">
        <f t="shared" si="11"/>
        <v>42421.590060000002</v>
      </c>
      <c r="P26" s="134">
        <f t="shared" si="12"/>
        <v>1731375562.9000001</v>
      </c>
      <c r="Q26" s="134">
        <f>P26/1000</f>
        <v>1731375.5629</v>
      </c>
      <c r="R26" s="146">
        <f t="shared" si="13"/>
        <v>1.0055890135100147</v>
      </c>
      <c r="S26" s="147">
        <f>Q26/Q27</f>
        <v>0.51544381439618092</v>
      </c>
    </row>
    <row r="27" spans="1:19" s="149" customFormat="1" ht="17.25" customHeight="1" thickBot="1">
      <c r="A27" s="136" t="s">
        <v>1234</v>
      </c>
      <c r="B27" s="137">
        <f t="shared" ref="B27:Q27" si="14">SUM(B21:B26)</f>
        <v>3272000</v>
      </c>
      <c r="C27" s="137">
        <f t="shared" si="14"/>
        <v>3363673.04</v>
      </c>
      <c r="D27" s="137">
        <f t="shared" si="14"/>
        <v>377860661</v>
      </c>
      <c r="E27" s="137">
        <f t="shared" si="14"/>
        <v>377860.66099999996</v>
      </c>
      <c r="F27" s="137">
        <f t="shared" si="14"/>
        <v>338956044</v>
      </c>
      <c r="G27" s="137">
        <f t="shared" si="14"/>
        <v>338956.04399999999</v>
      </c>
      <c r="H27" s="137">
        <f t="shared" si="14"/>
        <v>227423972</v>
      </c>
      <c r="I27" s="137">
        <f t="shared" si="14"/>
        <v>227423.97199999998</v>
      </c>
      <c r="J27" s="137">
        <f t="shared" si="14"/>
        <v>216334359</v>
      </c>
      <c r="K27" s="137">
        <f t="shared" si="14"/>
        <v>216334.359</v>
      </c>
      <c r="L27" s="137">
        <f t="shared" si="14"/>
        <v>349199025</v>
      </c>
      <c r="M27" s="137">
        <f t="shared" si="14"/>
        <v>349199.02499999997</v>
      </c>
      <c r="N27" s="137">
        <f t="shared" si="14"/>
        <v>155945213.96000001</v>
      </c>
      <c r="O27" s="137">
        <f t="shared" si="14"/>
        <v>155945.21395999999</v>
      </c>
      <c r="P27" s="137">
        <f t="shared" si="14"/>
        <v>3349692053.25</v>
      </c>
      <c r="Q27" s="137">
        <f t="shared" si="14"/>
        <v>3358999.5932499999</v>
      </c>
      <c r="R27" s="148">
        <f t="shared" si="13"/>
        <v>0.99861061206174784</v>
      </c>
      <c r="S27" s="138">
        <f>SUM(S21:S26)</f>
        <v>1</v>
      </c>
    </row>
    <row r="28" spans="1:19" ht="18">
      <c r="A28" s="150" t="s">
        <v>1250</v>
      </c>
    </row>
  </sheetData>
  <mergeCells count="2">
    <mergeCell ref="A2:R2"/>
    <mergeCell ref="A17:R1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>
    <oddHeader>&amp;LPříloha č. 5&amp;CZávěrečný účet Plzeňského kraje za rok 2010</oddHeader>
    <oddFooter>&amp;LKrajský úřad Plzeňského kraje
Odbor ekonomický&amp;C&amp;P&amp;R&amp;D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25" zoomScaleNormal="100" workbookViewId="0">
      <selection activeCell="M49" sqref="M49"/>
    </sheetView>
  </sheetViews>
  <sheetFormatPr defaultColWidth="9.109375" defaultRowHeight="13.2"/>
  <cols>
    <col min="1" max="16384" width="9.109375" style="433"/>
  </cols>
  <sheetData/>
  <pageMargins left="0.7" right="0.7" top="0.78740157499999996" bottom="0.78740157499999996" header="0.3" footer="0.3"/>
  <pageSetup paperSize="9" orientation="portrait" r:id="rId1"/>
  <headerFooter>
    <oddHeader>&amp;LPříloha č. 6&amp;CZávěrečný účet Plzeňského kraje za rok 2010</oddHeader>
    <oddFooter>&amp;LKrajský úřad Plzeňského kraje
Odbor ekonomický&amp;C&amp;P&amp;R&amp;D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zoomScaleNormal="100" workbookViewId="0">
      <selection activeCell="H20" sqref="H20"/>
    </sheetView>
  </sheetViews>
  <sheetFormatPr defaultRowHeight="13.2"/>
  <cols>
    <col min="1" max="1" width="28.88671875" style="151" customWidth="1"/>
    <col min="2" max="2" width="27.33203125" style="151" customWidth="1"/>
    <col min="3" max="3" width="7.88671875" style="151" bestFit="1" customWidth="1"/>
    <col min="4" max="4" width="9.33203125" style="151" customWidth="1"/>
    <col min="5" max="5" width="12.6640625" style="151" customWidth="1"/>
    <col min="6" max="256" width="9.109375" style="151"/>
    <col min="257" max="257" width="28.88671875" style="151" customWidth="1"/>
    <col min="258" max="258" width="27.33203125" style="151" customWidth="1"/>
    <col min="259" max="259" width="7.88671875" style="151" bestFit="1" customWidth="1"/>
    <col min="260" max="260" width="9.33203125" style="151" customWidth="1"/>
    <col min="261" max="261" width="12.6640625" style="151" customWidth="1"/>
    <col min="262" max="512" width="9.109375" style="151"/>
    <col min="513" max="513" width="28.88671875" style="151" customWidth="1"/>
    <col min="514" max="514" width="27.33203125" style="151" customWidth="1"/>
    <col min="515" max="515" width="7.88671875" style="151" bestFit="1" customWidth="1"/>
    <col min="516" max="516" width="9.33203125" style="151" customWidth="1"/>
    <col min="517" max="517" width="12.6640625" style="151" customWidth="1"/>
    <col min="518" max="768" width="9.109375" style="151"/>
    <col min="769" max="769" width="28.88671875" style="151" customWidth="1"/>
    <col min="770" max="770" width="27.33203125" style="151" customWidth="1"/>
    <col min="771" max="771" width="7.88671875" style="151" bestFit="1" customWidth="1"/>
    <col min="772" max="772" width="9.33203125" style="151" customWidth="1"/>
    <col min="773" max="773" width="12.6640625" style="151" customWidth="1"/>
    <col min="774" max="1024" width="9.109375" style="151"/>
    <col min="1025" max="1025" width="28.88671875" style="151" customWidth="1"/>
    <col min="1026" max="1026" width="27.33203125" style="151" customWidth="1"/>
    <col min="1027" max="1027" width="7.88671875" style="151" bestFit="1" customWidth="1"/>
    <col min="1028" max="1028" width="9.33203125" style="151" customWidth="1"/>
    <col min="1029" max="1029" width="12.6640625" style="151" customWidth="1"/>
    <col min="1030" max="1280" width="9.109375" style="151"/>
    <col min="1281" max="1281" width="28.88671875" style="151" customWidth="1"/>
    <col min="1282" max="1282" width="27.33203125" style="151" customWidth="1"/>
    <col min="1283" max="1283" width="7.88671875" style="151" bestFit="1" customWidth="1"/>
    <col min="1284" max="1284" width="9.33203125" style="151" customWidth="1"/>
    <col min="1285" max="1285" width="12.6640625" style="151" customWidth="1"/>
    <col min="1286" max="1536" width="9.109375" style="151"/>
    <col min="1537" max="1537" width="28.88671875" style="151" customWidth="1"/>
    <col min="1538" max="1538" width="27.33203125" style="151" customWidth="1"/>
    <col min="1539" max="1539" width="7.88671875" style="151" bestFit="1" customWidth="1"/>
    <col min="1540" max="1540" width="9.33203125" style="151" customWidth="1"/>
    <col min="1541" max="1541" width="12.6640625" style="151" customWidth="1"/>
    <col min="1542" max="1792" width="9.109375" style="151"/>
    <col min="1793" max="1793" width="28.88671875" style="151" customWidth="1"/>
    <col min="1794" max="1794" width="27.33203125" style="151" customWidth="1"/>
    <col min="1795" max="1795" width="7.88671875" style="151" bestFit="1" customWidth="1"/>
    <col min="1796" max="1796" width="9.33203125" style="151" customWidth="1"/>
    <col min="1797" max="1797" width="12.6640625" style="151" customWidth="1"/>
    <col min="1798" max="2048" width="9.109375" style="151"/>
    <col min="2049" max="2049" width="28.88671875" style="151" customWidth="1"/>
    <col min="2050" max="2050" width="27.33203125" style="151" customWidth="1"/>
    <col min="2051" max="2051" width="7.88671875" style="151" bestFit="1" customWidth="1"/>
    <col min="2052" max="2052" width="9.33203125" style="151" customWidth="1"/>
    <col min="2053" max="2053" width="12.6640625" style="151" customWidth="1"/>
    <col min="2054" max="2304" width="9.109375" style="151"/>
    <col min="2305" max="2305" width="28.88671875" style="151" customWidth="1"/>
    <col min="2306" max="2306" width="27.33203125" style="151" customWidth="1"/>
    <col min="2307" max="2307" width="7.88671875" style="151" bestFit="1" customWidth="1"/>
    <col min="2308" max="2308" width="9.33203125" style="151" customWidth="1"/>
    <col min="2309" max="2309" width="12.6640625" style="151" customWidth="1"/>
    <col min="2310" max="2560" width="9.109375" style="151"/>
    <col min="2561" max="2561" width="28.88671875" style="151" customWidth="1"/>
    <col min="2562" max="2562" width="27.33203125" style="151" customWidth="1"/>
    <col min="2563" max="2563" width="7.88671875" style="151" bestFit="1" customWidth="1"/>
    <col min="2564" max="2564" width="9.33203125" style="151" customWidth="1"/>
    <col min="2565" max="2565" width="12.6640625" style="151" customWidth="1"/>
    <col min="2566" max="2816" width="9.109375" style="151"/>
    <col min="2817" max="2817" width="28.88671875" style="151" customWidth="1"/>
    <col min="2818" max="2818" width="27.33203125" style="151" customWidth="1"/>
    <col min="2819" max="2819" width="7.88671875" style="151" bestFit="1" customWidth="1"/>
    <col min="2820" max="2820" width="9.33203125" style="151" customWidth="1"/>
    <col min="2821" max="2821" width="12.6640625" style="151" customWidth="1"/>
    <col min="2822" max="3072" width="9.109375" style="151"/>
    <col min="3073" max="3073" width="28.88671875" style="151" customWidth="1"/>
    <col min="3074" max="3074" width="27.33203125" style="151" customWidth="1"/>
    <col min="3075" max="3075" width="7.88671875" style="151" bestFit="1" customWidth="1"/>
    <col min="3076" max="3076" width="9.33203125" style="151" customWidth="1"/>
    <col min="3077" max="3077" width="12.6640625" style="151" customWidth="1"/>
    <col min="3078" max="3328" width="9.109375" style="151"/>
    <col min="3329" max="3329" width="28.88671875" style="151" customWidth="1"/>
    <col min="3330" max="3330" width="27.33203125" style="151" customWidth="1"/>
    <col min="3331" max="3331" width="7.88671875" style="151" bestFit="1" customWidth="1"/>
    <col min="3332" max="3332" width="9.33203125" style="151" customWidth="1"/>
    <col min="3333" max="3333" width="12.6640625" style="151" customWidth="1"/>
    <col min="3334" max="3584" width="9.109375" style="151"/>
    <col min="3585" max="3585" width="28.88671875" style="151" customWidth="1"/>
    <col min="3586" max="3586" width="27.33203125" style="151" customWidth="1"/>
    <col min="3587" max="3587" width="7.88671875" style="151" bestFit="1" customWidth="1"/>
    <col min="3588" max="3588" width="9.33203125" style="151" customWidth="1"/>
    <col min="3589" max="3589" width="12.6640625" style="151" customWidth="1"/>
    <col min="3590" max="3840" width="9.109375" style="151"/>
    <col min="3841" max="3841" width="28.88671875" style="151" customWidth="1"/>
    <col min="3842" max="3842" width="27.33203125" style="151" customWidth="1"/>
    <col min="3843" max="3843" width="7.88671875" style="151" bestFit="1" customWidth="1"/>
    <col min="3844" max="3844" width="9.33203125" style="151" customWidth="1"/>
    <col min="3845" max="3845" width="12.6640625" style="151" customWidth="1"/>
    <col min="3846" max="4096" width="9.109375" style="151"/>
    <col min="4097" max="4097" width="28.88671875" style="151" customWidth="1"/>
    <col min="4098" max="4098" width="27.33203125" style="151" customWidth="1"/>
    <col min="4099" max="4099" width="7.88671875" style="151" bestFit="1" customWidth="1"/>
    <col min="4100" max="4100" width="9.33203125" style="151" customWidth="1"/>
    <col min="4101" max="4101" width="12.6640625" style="151" customWidth="1"/>
    <col min="4102" max="4352" width="9.109375" style="151"/>
    <col min="4353" max="4353" width="28.88671875" style="151" customWidth="1"/>
    <col min="4354" max="4354" width="27.33203125" style="151" customWidth="1"/>
    <col min="4355" max="4355" width="7.88671875" style="151" bestFit="1" customWidth="1"/>
    <col min="4356" max="4356" width="9.33203125" style="151" customWidth="1"/>
    <col min="4357" max="4357" width="12.6640625" style="151" customWidth="1"/>
    <col min="4358" max="4608" width="9.109375" style="151"/>
    <col min="4609" max="4609" width="28.88671875" style="151" customWidth="1"/>
    <col min="4610" max="4610" width="27.33203125" style="151" customWidth="1"/>
    <col min="4611" max="4611" width="7.88671875" style="151" bestFit="1" customWidth="1"/>
    <col min="4612" max="4612" width="9.33203125" style="151" customWidth="1"/>
    <col min="4613" max="4613" width="12.6640625" style="151" customWidth="1"/>
    <col min="4614" max="4864" width="9.109375" style="151"/>
    <col min="4865" max="4865" width="28.88671875" style="151" customWidth="1"/>
    <col min="4866" max="4866" width="27.33203125" style="151" customWidth="1"/>
    <col min="4867" max="4867" width="7.88671875" style="151" bestFit="1" customWidth="1"/>
    <col min="4868" max="4868" width="9.33203125" style="151" customWidth="1"/>
    <col min="4869" max="4869" width="12.6640625" style="151" customWidth="1"/>
    <col min="4870" max="5120" width="9.109375" style="151"/>
    <col min="5121" max="5121" width="28.88671875" style="151" customWidth="1"/>
    <col min="5122" max="5122" width="27.33203125" style="151" customWidth="1"/>
    <col min="5123" max="5123" width="7.88671875" style="151" bestFit="1" customWidth="1"/>
    <col min="5124" max="5124" width="9.33203125" style="151" customWidth="1"/>
    <col min="5125" max="5125" width="12.6640625" style="151" customWidth="1"/>
    <col min="5126" max="5376" width="9.109375" style="151"/>
    <col min="5377" max="5377" width="28.88671875" style="151" customWidth="1"/>
    <col min="5378" max="5378" width="27.33203125" style="151" customWidth="1"/>
    <col min="5379" max="5379" width="7.88671875" style="151" bestFit="1" customWidth="1"/>
    <col min="5380" max="5380" width="9.33203125" style="151" customWidth="1"/>
    <col min="5381" max="5381" width="12.6640625" style="151" customWidth="1"/>
    <col min="5382" max="5632" width="9.109375" style="151"/>
    <col min="5633" max="5633" width="28.88671875" style="151" customWidth="1"/>
    <col min="5634" max="5634" width="27.33203125" style="151" customWidth="1"/>
    <col min="5635" max="5635" width="7.88671875" style="151" bestFit="1" customWidth="1"/>
    <col min="5636" max="5636" width="9.33203125" style="151" customWidth="1"/>
    <col min="5637" max="5637" width="12.6640625" style="151" customWidth="1"/>
    <col min="5638" max="5888" width="9.109375" style="151"/>
    <col min="5889" max="5889" width="28.88671875" style="151" customWidth="1"/>
    <col min="5890" max="5890" width="27.33203125" style="151" customWidth="1"/>
    <col min="5891" max="5891" width="7.88671875" style="151" bestFit="1" customWidth="1"/>
    <col min="5892" max="5892" width="9.33203125" style="151" customWidth="1"/>
    <col min="5893" max="5893" width="12.6640625" style="151" customWidth="1"/>
    <col min="5894" max="6144" width="9.109375" style="151"/>
    <col min="6145" max="6145" width="28.88671875" style="151" customWidth="1"/>
    <col min="6146" max="6146" width="27.33203125" style="151" customWidth="1"/>
    <col min="6147" max="6147" width="7.88671875" style="151" bestFit="1" customWidth="1"/>
    <col min="6148" max="6148" width="9.33203125" style="151" customWidth="1"/>
    <col min="6149" max="6149" width="12.6640625" style="151" customWidth="1"/>
    <col min="6150" max="6400" width="9.109375" style="151"/>
    <col min="6401" max="6401" width="28.88671875" style="151" customWidth="1"/>
    <col min="6402" max="6402" width="27.33203125" style="151" customWidth="1"/>
    <col min="6403" max="6403" width="7.88671875" style="151" bestFit="1" customWidth="1"/>
    <col min="6404" max="6404" width="9.33203125" style="151" customWidth="1"/>
    <col min="6405" max="6405" width="12.6640625" style="151" customWidth="1"/>
    <col min="6406" max="6656" width="9.109375" style="151"/>
    <col min="6657" max="6657" width="28.88671875" style="151" customWidth="1"/>
    <col min="6658" max="6658" width="27.33203125" style="151" customWidth="1"/>
    <col min="6659" max="6659" width="7.88671875" style="151" bestFit="1" customWidth="1"/>
    <col min="6660" max="6660" width="9.33203125" style="151" customWidth="1"/>
    <col min="6661" max="6661" width="12.6640625" style="151" customWidth="1"/>
    <col min="6662" max="6912" width="9.109375" style="151"/>
    <col min="6913" max="6913" width="28.88671875" style="151" customWidth="1"/>
    <col min="6914" max="6914" width="27.33203125" style="151" customWidth="1"/>
    <col min="6915" max="6915" width="7.88671875" style="151" bestFit="1" customWidth="1"/>
    <col min="6916" max="6916" width="9.33203125" style="151" customWidth="1"/>
    <col min="6917" max="6917" width="12.6640625" style="151" customWidth="1"/>
    <col min="6918" max="7168" width="9.109375" style="151"/>
    <col min="7169" max="7169" width="28.88671875" style="151" customWidth="1"/>
    <col min="7170" max="7170" width="27.33203125" style="151" customWidth="1"/>
    <col min="7171" max="7171" width="7.88671875" style="151" bestFit="1" customWidth="1"/>
    <col min="7172" max="7172" width="9.33203125" style="151" customWidth="1"/>
    <col min="7173" max="7173" width="12.6640625" style="151" customWidth="1"/>
    <col min="7174" max="7424" width="9.109375" style="151"/>
    <col min="7425" max="7425" width="28.88671875" style="151" customWidth="1"/>
    <col min="7426" max="7426" width="27.33203125" style="151" customWidth="1"/>
    <col min="7427" max="7427" width="7.88671875" style="151" bestFit="1" customWidth="1"/>
    <col min="7428" max="7428" width="9.33203125" style="151" customWidth="1"/>
    <col min="7429" max="7429" width="12.6640625" style="151" customWidth="1"/>
    <col min="7430" max="7680" width="9.109375" style="151"/>
    <col min="7681" max="7681" width="28.88671875" style="151" customWidth="1"/>
    <col min="7682" max="7682" width="27.33203125" style="151" customWidth="1"/>
    <col min="7683" max="7683" width="7.88671875" style="151" bestFit="1" customWidth="1"/>
    <col min="7684" max="7684" width="9.33203125" style="151" customWidth="1"/>
    <col min="7685" max="7685" width="12.6640625" style="151" customWidth="1"/>
    <col min="7686" max="7936" width="9.109375" style="151"/>
    <col min="7937" max="7937" width="28.88671875" style="151" customWidth="1"/>
    <col min="7938" max="7938" width="27.33203125" style="151" customWidth="1"/>
    <col min="7939" max="7939" width="7.88671875" style="151" bestFit="1" customWidth="1"/>
    <col min="7940" max="7940" width="9.33203125" style="151" customWidth="1"/>
    <col min="7941" max="7941" width="12.6640625" style="151" customWidth="1"/>
    <col min="7942" max="8192" width="9.109375" style="151"/>
    <col min="8193" max="8193" width="28.88671875" style="151" customWidth="1"/>
    <col min="8194" max="8194" width="27.33203125" style="151" customWidth="1"/>
    <col min="8195" max="8195" width="7.88671875" style="151" bestFit="1" customWidth="1"/>
    <col min="8196" max="8196" width="9.33203125" style="151" customWidth="1"/>
    <col min="8197" max="8197" width="12.6640625" style="151" customWidth="1"/>
    <col min="8198" max="8448" width="9.109375" style="151"/>
    <col min="8449" max="8449" width="28.88671875" style="151" customWidth="1"/>
    <col min="8450" max="8450" width="27.33203125" style="151" customWidth="1"/>
    <col min="8451" max="8451" width="7.88671875" style="151" bestFit="1" customWidth="1"/>
    <col min="8452" max="8452" width="9.33203125" style="151" customWidth="1"/>
    <col min="8453" max="8453" width="12.6640625" style="151" customWidth="1"/>
    <col min="8454" max="8704" width="9.109375" style="151"/>
    <col min="8705" max="8705" width="28.88671875" style="151" customWidth="1"/>
    <col min="8706" max="8706" width="27.33203125" style="151" customWidth="1"/>
    <col min="8707" max="8707" width="7.88671875" style="151" bestFit="1" customWidth="1"/>
    <col min="8708" max="8708" width="9.33203125" style="151" customWidth="1"/>
    <col min="8709" max="8709" width="12.6640625" style="151" customWidth="1"/>
    <col min="8710" max="8960" width="9.109375" style="151"/>
    <col min="8961" max="8961" width="28.88671875" style="151" customWidth="1"/>
    <col min="8962" max="8962" width="27.33203125" style="151" customWidth="1"/>
    <col min="8963" max="8963" width="7.88671875" style="151" bestFit="1" customWidth="1"/>
    <col min="8964" max="8964" width="9.33203125" style="151" customWidth="1"/>
    <col min="8965" max="8965" width="12.6640625" style="151" customWidth="1"/>
    <col min="8966" max="9216" width="9.109375" style="151"/>
    <col min="9217" max="9217" width="28.88671875" style="151" customWidth="1"/>
    <col min="9218" max="9218" width="27.33203125" style="151" customWidth="1"/>
    <col min="9219" max="9219" width="7.88671875" style="151" bestFit="1" customWidth="1"/>
    <col min="9220" max="9220" width="9.33203125" style="151" customWidth="1"/>
    <col min="9221" max="9221" width="12.6640625" style="151" customWidth="1"/>
    <col min="9222" max="9472" width="9.109375" style="151"/>
    <col min="9473" max="9473" width="28.88671875" style="151" customWidth="1"/>
    <col min="9474" max="9474" width="27.33203125" style="151" customWidth="1"/>
    <col min="9475" max="9475" width="7.88671875" style="151" bestFit="1" customWidth="1"/>
    <col min="9476" max="9476" width="9.33203125" style="151" customWidth="1"/>
    <col min="9477" max="9477" width="12.6640625" style="151" customWidth="1"/>
    <col min="9478" max="9728" width="9.109375" style="151"/>
    <col min="9729" max="9729" width="28.88671875" style="151" customWidth="1"/>
    <col min="9730" max="9730" width="27.33203125" style="151" customWidth="1"/>
    <col min="9731" max="9731" width="7.88671875" style="151" bestFit="1" customWidth="1"/>
    <col min="9732" max="9732" width="9.33203125" style="151" customWidth="1"/>
    <col min="9733" max="9733" width="12.6640625" style="151" customWidth="1"/>
    <col min="9734" max="9984" width="9.109375" style="151"/>
    <col min="9985" max="9985" width="28.88671875" style="151" customWidth="1"/>
    <col min="9986" max="9986" width="27.33203125" style="151" customWidth="1"/>
    <col min="9987" max="9987" width="7.88671875" style="151" bestFit="1" customWidth="1"/>
    <col min="9988" max="9988" width="9.33203125" style="151" customWidth="1"/>
    <col min="9989" max="9989" width="12.6640625" style="151" customWidth="1"/>
    <col min="9990" max="10240" width="9.109375" style="151"/>
    <col min="10241" max="10241" width="28.88671875" style="151" customWidth="1"/>
    <col min="10242" max="10242" width="27.33203125" style="151" customWidth="1"/>
    <col min="10243" max="10243" width="7.88671875" style="151" bestFit="1" customWidth="1"/>
    <col min="10244" max="10244" width="9.33203125" style="151" customWidth="1"/>
    <col min="10245" max="10245" width="12.6640625" style="151" customWidth="1"/>
    <col min="10246" max="10496" width="9.109375" style="151"/>
    <col min="10497" max="10497" width="28.88671875" style="151" customWidth="1"/>
    <col min="10498" max="10498" width="27.33203125" style="151" customWidth="1"/>
    <col min="10499" max="10499" width="7.88671875" style="151" bestFit="1" customWidth="1"/>
    <col min="10500" max="10500" width="9.33203125" style="151" customWidth="1"/>
    <col min="10501" max="10501" width="12.6640625" style="151" customWidth="1"/>
    <col min="10502" max="10752" width="9.109375" style="151"/>
    <col min="10753" max="10753" width="28.88671875" style="151" customWidth="1"/>
    <col min="10754" max="10754" width="27.33203125" style="151" customWidth="1"/>
    <col min="10755" max="10755" width="7.88671875" style="151" bestFit="1" customWidth="1"/>
    <col min="10756" max="10756" width="9.33203125" style="151" customWidth="1"/>
    <col min="10757" max="10757" width="12.6640625" style="151" customWidth="1"/>
    <col min="10758" max="11008" width="9.109375" style="151"/>
    <col min="11009" max="11009" width="28.88671875" style="151" customWidth="1"/>
    <col min="11010" max="11010" width="27.33203125" style="151" customWidth="1"/>
    <col min="11011" max="11011" width="7.88671875" style="151" bestFit="1" customWidth="1"/>
    <col min="11012" max="11012" width="9.33203125" style="151" customWidth="1"/>
    <col min="11013" max="11013" width="12.6640625" style="151" customWidth="1"/>
    <col min="11014" max="11264" width="9.109375" style="151"/>
    <col min="11265" max="11265" width="28.88671875" style="151" customWidth="1"/>
    <col min="11266" max="11266" width="27.33203125" style="151" customWidth="1"/>
    <col min="11267" max="11267" width="7.88671875" style="151" bestFit="1" customWidth="1"/>
    <col min="11268" max="11268" width="9.33203125" style="151" customWidth="1"/>
    <col min="11269" max="11269" width="12.6640625" style="151" customWidth="1"/>
    <col min="11270" max="11520" width="9.109375" style="151"/>
    <col min="11521" max="11521" width="28.88671875" style="151" customWidth="1"/>
    <col min="11522" max="11522" width="27.33203125" style="151" customWidth="1"/>
    <col min="11523" max="11523" width="7.88671875" style="151" bestFit="1" customWidth="1"/>
    <col min="11524" max="11524" width="9.33203125" style="151" customWidth="1"/>
    <col min="11525" max="11525" width="12.6640625" style="151" customWidth="1"/>
    <col min="11526" max="11776" width="9.109375" style="151"/>
    <col min="11777" max="11777" width="28.88671875" style="151" customWidth="1"/>
    <col min="11778" max="11778" width="27.33203125" style="151" customWidth="1"/>
    <col min="11779" max="11779" width="7.88671875" style="151" bestFit="1" customWidth="1"/>
    <col min="11780" max="11780" width="9.33203125" style="151" customWidth="1"/>
    <col min="11781" max="11781" width="12.6640625" style="151" customWidth="1"/>
    <col min="11782" max="12032" width="9.109375" style="151"/>
    <col min="12033" max="12033" width="28.88671875" style="151" customWidth="1"/>
    <col min="12034" max="12034" width="27.33203125" style="151" customWidth="1"/>
    <col min="12035" max="12035" width="7.88671875" style="151" bestFit="1" customWidth="1"/>
    <col min="12036" max="12036" width="9.33203125" style="151" customWidth="1"/>
    <col min="12037" max="12037" width="12.6640625" style="151" customWidth="1"/>
    <col min="12038" max="12288" width="9.109375" style="151"/>
    <col min="12289" max="12289" width="28.88671875" style="151" customWidth="1"/>
    <col min="12290" max="12290" width="27.33203125" style="151" customWidth="1"/>
    <col min="12291" max="12291" width="7.88671875" style="151" bestFit="1" customWidth="1"/>
    <col min="12292" max="12292" width="9.33203125" style="151" customWidth="1"/>
    <col min="12293" max="12293" width="12.6640625" style="151" customWidth="1"/>
    <col min="12294" max="12544" width="9.109375" style="151"/>
    <col min="12545" max="12545" width="28.88671875" style="151" customWidth="1"/>
    <col min="12546" max="12546" width="27.33203125" style="151" customWidth="1"/>
    <col min="12547" max="12547" width="7.88671875" style="151" bestFit="1" customWidth="1"/>
    <col min="12548" max="12548" width="9.33203125" style="151" customWidth="1"/>
    <col min="12549" max="12549" width="12.6640625" style="151" customWidth="1"/>
    <col min="12550" max="12800" width="9.109375" style="151"/>
    <col min="12801" max="12801" width="28.88671875" style="151" customWidth="1"/>
    <col min="12802" max="12802" width="27.33203125" style="151" customWidth="1"/>
    <col min="12803" max="12803" width="7.88671875" style="151" bestFit="1" customWidth="1"/>
    <col min="12804" max="12804" width="9.33203125" style="151" customWidth="1"/>
    <col min="12805" max="12805" width="12.6640625" style="151" customWidth="1"/>
    <col min="12806" max="13056" width="9.109375" style="151"/>
    <col min="13057" max="13057" width="28.88671875" style="151" customWidth="1"/>
    <col min="13058" max="13058" width="27.33203125" style="151" customWidth="1"/>
    <col min="13059" max="13059" width="7.88671875" style="151" bestFit="1" customWidth="1"/>
    <col min="13060" max="13060" width="9.33203125" style="151" customWidth="1"/>
    <col min="13061" max="13061" width="12.6640625" style="151" customWidth="1"/>
    <col min="13062" max="13312" width="9.109375" style="151"/>
    <col min="13313" max="13313" width="28.88671875" style="151" customWidth="1"/>
    <col min="13314" max="13314" width="27.33203125" style="151" customWidth="1"/>
    <col min="13315" max="13315" width="7.88671875" style="151" bestFit="1" customWidth="1"/>
    <col min="13316" max="13316" width="9.33203125" style="151" customWidth="1"/>
    <col min="13317" max="13317" width="12.6640625" style="151" customWidth="1"/>
    <col min="13318" max="13568" width="9.109375" style="151"/>
    <col min="13569" max="13569" width="28.88671875" style="151" customWidth="1"/>
    <col min="13570" max="13570" width="27.33203125" style="151" customWidth="1"/>
    <col min="13571" max="13571" width="7.88671875" style="151" bestFit="1" customWidth="1"/>
    <col min="13572" max="13572" width="9.33203125" style="151" customWidth="1"/>
    <col min="13573" max="13573" width="12.6640625" style="151" customWidth="1"/>
    <col min="13574" max="13824" width="9.109375" style="151"/>
    <col min="13825" max="13825" width="28.88671875" style="151" customWidth="1"/>
    <col min="13826" max="13826" width="27.33203125" style="151" customWidth="1"/>
    <col min="13827" max="13827" width="7.88671875" style="151" bestFit="1" customWidth="1"/>
    <col min="13828" max="13828" width="9.33203125" style="151" customWidth="1"/>
    <col min="13829" max="13829" width="12.6640625" style="151" customWidth="1"/>
    <col min="13830" max="14080" width="9.109375" style="151"/>
    <col min="14081" max="14081" width="28.88671875" style="151" customWidth="1"/>
    <col min="14082" max="14082" width="27.33203125" style="151" customWidth="1"/>
    <col min="14083" max="14083" width="7.88671875" style="151" bestFit="1" customWidth="1"/>
    <col min="14084" max="14084" width="9.33203125" style="151" customWidth="1"/>
    <col min="14085" max="14085" width="12.6640625" style="151" customWidth="1"/>
    <col min="14086" max="14336" width="9.109375" style="151"/>
    <col min="14337" max="14337" width="28.88671875" style="151" customWidth="1"/>
    <col min="14338" max="14338" width="27.33203125" style="151" customWidth="1"/>
    <col min="14339" max="14339" width="7.88671875" style="151" bestFit="1" customWidth="1"/>
    <col min="14340" max="14340" width="9.33203125" style="151" customWidth="1"/>
    <col min="14341" max="14341" width="12.6640625" style="151" customWidth="1"/>
    <col min="14342" max="14592" width="9.109375" style="151"/>
    <col min="14593" max="14593" width="28.88671875" style="151" customWidth="1"/>
    <col min="14594" max="14594" width="27.33203125" style="151" customWidth="1"/>
    <col min="14595" max="14595" width="7.88671875" style="151" bestFit="1" customWidth="1"/>
    <col min="14596" max="14596" width="9.33203125" style="151" customWidth="1"/>
    <col min="14597" max="14597" width="12.6640625" style="151" customWidth="1"/>
    <col min="14598" max="14848" width="9.109375" style="151"/>
    <col min="14849" max="14849" width="28.88671875" style="151" customWidth="1"/>
    <col min="14850" max="14850" width="27.33203125" style="151" customWidth="1"/>
    <col min="14851" max="14851" width="7.88671875" style="151" bestFit="1" customWidth="1"/>
    <col min="14852" max="14852" width="9.33203125" style="151" customWidth="1"/>
    <col min="14853" max="14853" width="12.6640625" style="151" customWidth="1"/>
    <col min="14854" max="15104" width="9.109375" style="151"/>
    <col min="15105" max="15105" width="28.88671875" style="151" customWidth="1"/>
    <col min="15106" max="15106" width="27.33203125" style="151" customWidth="1"/>
    <col min="15107" max="15107" width="7.88671875" style="151" bestFit="1" customWidth="1"/>
    <col min="15108" max="15108" width="9.33203125" style="151" customWidth="1"/>
    <col min="15109" max="15109" width="12.6640625" style="151" customWidth="1"/>
    <col min="15110" max="15360" width="9.109375" style="151"/>
    <col min="15361" max="15361" width="28.88671875" style="151" customWidth="1"/>
    <col min="15362" max="15362" width="27.33203125" style="151" customWidth="1"/>
    <col min="15363" max="15363" width="7.88671875" style="151" bestFit="1" customWidth="1"/>
    <col min="15364" max="15364" width="9.33203125" style="151" customWidth="1"/>
    <col min="15365" max="15365" width="12.6640625" style="151" customWidth="1"/>
    <col min="15366" max="15616" width="9.109375" style="151"/>
    <col min="15617" max="15617" width="28.88671875" style="151" customWidth="1"/>
    <col min="15618" max="15618" width="27.33203125" style="151" customWidth="1"/>
    <col min="15619" max="15619" width="7.88671875" style="151" bestFit="1" customWidth="1"/>
    <col min="15620" max="15620" width="9.33203125" style="151" customWidth="1"/>
    <col min="15621" max="15621" width="12.6640625" style="151" customWidth="1"/>
    <col min="15622" max="15872" width="9.109375" style="151"/>
    <col min="15873" max="15873" width="28.88671875" style="151" customWidth="1"/>
    <col min="15874" max="15874" width="27.33203125" style="151" customWidth="1"/>
    <col min="15875" max="15875" width="7.88671875" style="151" bestFit="1" customWidth="1"/>
    <col min="15876" max="15876" width="9.33203125" style="151" customWidth="1"/>
    <col min="15877" max="15877" width="12.6640625" style="151" customWidth="1"/>
    <col min="15878" max="16128" width="9.109375" style="151"/>
    <col min="16129" max="16129" width="28.88671875" style="151" customWidth="1"/>
    <col min="16130" max="16130" width="27.33203125" style="151" customWidth="1"/>
    <col min="16131" max="16131" width="7.88671875" style="151" bestFit="1" customWidth="1"/>
    <col min="16132" max="16132" width="9.33203125" style="151" customWidth="1"/>
    <col min="16133" max="16133" width="12.6640625" style="151" customWidth="1"/>
    <col min="16134" max="16384" width="9.109375" style="151"/>
  </cols>
  <sheetData>
    <row r="1" spans="1:6" ht="27.75" customHeight="1" thickBot="1">
      <c r="A1" s="890" t="s">
        <v>1251</v>
      </c>
      <c r="B1" s="890"/>
      <c r="C1" s="890"/>
      <c r="D1" s="890"/>
      <c r="E1" s="890"/>
    </row>
    <row r="2" spans="1:6" ht="21" customHeight="1" thickBot="1">
      <c r="A2" s="152" t="s">
        <v>1252</v>
      </c>
      <c r="B2" s="153" t="s">
        <v>1253</v>
      </c>
      <c r="C2" s="153" t="s">
        <v>1254</v>
      </c>
      <c r="D2" s="154" t="s">
        <v>1255</v>
      </c>
      <c r="E2" s="155" t="s">
        <v>1256</v>
      </c>
    </row>
    <row r="3" spans="1:6" s="157" customFormat="1">
      <c r="A3" s="891" t="s">
        <v>1257</v>
      </c>
      <c r="B3" s="156" t="s">
        <v>1258</v>
      </c>
      <c r="C3" s="892">
        <v>49180312</v>
      </c>
      <c r="D3" s="884">
        <v>21488</v>
      </c>
      <c r="E3" s="887" t="s">
        <v>1259</v>
      </c>
    </row>
    <row r="4" spans="1:6" s="157" customFormat="1">
      <c r="A4" s="891"/>
      <c r="B4" s="158" t="s">
        <v>1260</v>
      </c>
      <c r="C4" s="892"/>
      <c r="D4" s="885"/>
      <c r="E4" s="888"/>
      <c r="F4" s="159"/>
    </row>
    <row r="5" spans="1:6" s="157" customFormat="1">
      <c r="A5" s="891"/>
      <c r="B5" s="160" t="s">
        <v>1261</v>
      </c>
      <c r="C5" s="892"/>
      <c r="D5" s="886"/>
      <c r="E5" s="889"/>
      <c r="F5" s="159"/>
    </row>
    <row r="6" spans="1:6" s="157" customFormat="1" ht="12.75" customHeight="1">
      <c r="A6" s="878" t="s">
        <v>1262</v>
      </c>
      <c r="B6" s="161" t="s">
        <v>1263</v>
      </c>
      <c r="C6" s="881">
        <v>70890366</v>
      </c>
      <c r="D6" s="884">
        <v>1420</v>
      </c>
      <c r="E6" s="887" t="s">
        <v>1264</v>
      </c>
      <c r="F6" s="159"/>
    </row>
    <row r="7" spans="1:6" s="157" customFormat="1">
      <c r="A7" s="879"/>
      <c r="B7" s="162" t="s">
        <v>1265</v>
      </c>
      <c r="C7" s="882"/>
      <c r="D7" s="885"/>
      <c r="E7" s="888"/>
      <c r="F7" s="159"/>
    </row>
    <row r="8" spans="1:6" s="157" customFormat="1">
      <c r="A8" s="880"/>
      <c r="B8" s="163" t="s">
        <v>1266</v>
      </c>
      <c r="C8" s="883"/>
      <c r="D8" s="886"/>
      <c r="E8" s="889"/>
      <c r="F8" s="159"/>
    </row>
    <row r="9" spans="1:6" s="157" customFormat="1">
      <c r="A9" s="879" t="s">
        <v>1267</v>
      </c>
      <c r="B9" s="156" t="s">
        <v>1263</v>
      </c>
      <c r="C9" s="882">
        <v>70890366</v>
      </c>
      <c r="D9" s="885">
        <v>3421</v>
      </c>
      <c r="E9" s="888" t="s">
        <v>1264</v>
      </c>
      <c r="F9" s="159"/>
    </row>
    <row r="10" spans="1:6" s="157" customFormat="1">
      <c r="A10" s="879"/>
      <c r="B10" s="158" t="s">
        <v>1265</v>
      </c>
      <c r="C10" s="882"/>
      <c r="D10" s="885"/>
      <c r="E10" s="888"/>
      <c r="F10" s="159"/>
    </row>
    <row r="11" spans="1:6" s="157" customFormat="1">
      <c r="A11" s="880"/>
      <c r="B11" s="160" t="s">
        <v>1266</v>
      </c>
      <c r="C11" s="883"/>
      <c r="D11" s="886"/>
      <c r="E11" s="889"/>
      <c r="F11" s="159"/>
    </row>
    <row r="12" spans="1:6" s="157" customFormat="1">
      <c r="A12" s="891" t="s">
        <v>1268</v>
      </c>
      <c r="B12" s="162" t="s">
        <v>1263</v>
      </c>
      <c r="C12" s="882">
        <v>70890366</v>
      </c>
      <c r="D12" s="884">
        <v>184</v>
      </c>
      <c r="E12" s="887" t="s">
        <v>1269</v>
      </c>
      <c r="F12" s="159"/>
    </row>
    <row r="13" spans="1:6" s="157" customFormat="1">
      <c r="A13" s="891"/>
      <c r="B13" s="162" t="s">
        <v>1265</v>
      </c>
      <c r="C13" s="882"/>
      <c r="D13" s="885"/>
      <c r="E13" s="888"/>
      <c r="F13" s="159"/>
    </row>
    <row r="14" spans="1:6" s="157" customFormat="1">
      <c r="A14" s="891"/>
      <c r="B14" s="162" t="s">
        <v>1266</v>
      </c>
      <c r="C14" s="883"/>
      <c r="D14" s="886"/>
      <c r="E14" s="889"/>
      <c r="F14" s="159"/>
    </row>
    <row r="15" spans="1:6" s="157" customFormat="1" ht="12.75" customHeight="1">
      <c r="A15" s="891" t="s">
        <v>1270</v>
      </c>
      <c r="B15" s="156" t="s">
        <v>1263</v>
      </c>
      <c r="C15" s="882">
        <v>70890366</v>
      </c>
      <c r="D15" s="884">
        <v>230</v>
      </c>
      <c r="E15" s="887" t="s">
        <v>1269</v>
      </c>
      <c r="F15" s="159"/>
    </row>
    <row r="16" spans="1:6" s="157" customFormat="1">
      <c r="A16" s="891"/>
      <c r="B16" s="158" t="s">
        <v>1265</v>
      </c>
      <c r="C16" s="882"/>
      <c r="D16" s="885"/>
      <c r="E16" s="888"/>
      <c r="F16" s="159"/>
    </row>
    <row r="17" spans="1:6" s="157" customFormat="1">
      <c r="A17" s="891"/>
      <c r="B17" s="160" t="s">
        <v>1266</v>
      </c>
      <c r="C17" s="883"/>
      <c r="D17" s="886"/>
      <c r="E17" s="889"/>
      <c r="F17" s="159"/>
    </row>
    <row r="18" spans="1:6" s="157" customFormat="1" ht="12.75" customHeight="1">
      <c r="A18" s="880" t="s">
        <v>1271</v>
      </c>
      <c r="B18" s="158" t="s">
        <v>1272</v>
      </c>
      <c r="C18" s="893" t="s">
        <v>1273</v>
      </c>
      <c r="D18" s="885">
        <v>140</v>
      </c>
      <c r="E18" s="888" t="s">
        <v>1274</v>
      </c>
      <c r="F18" s="159"/>
    </row>
    <row r="19" spans="1:6" s="157" customFormat="1">
      <c r="A19" s="891"/>
      <c r="B19" s="158" t="s">
        <v>1275</v>
      </c>
      <c r="C19" s="894"/>
      <c r="D19" s="885"/>
      <c r="E19" s="888"/>
      <c r="F19" s="159"/>
    </row>
    <row r="20" spans="1:6" s="157" customFormat="1">
      <c r="A20" s="891"/>
      <c r="B20" s="158" t="s">
        <v>1276</v>
      </c>
      <c r="C20" s="894"/>
      <c r="D20" s="886"/>
      <c r="E20" s="889"/>
      <c r="F20" s="159"/>
    </row>
    <row r="21" spans="1:6" s="157" customFormat="1" ht="12.75" customHeight="1">
      <c r="A21" s="895" t="s">
        <v>1271</v>
      </c>
      <c r="B21" s="156" t="s">
        <v>1277</v>
      </c>
      <c r="C21" s="897" t="s">
        <v>1278</v>
      </c>
      <c r="D21" s="885">
        <v>46</v>
      </c>
      <c r="E21" s="888" t="s">
        <v>1274</v>
      </c>
      <c r="F21" s="159"/>
    </row>
    <row r="22" spans="1:6" s="157" customFormat="1">
      <c r="A22" s="896"/>
      <c r="B22" s="158" t="s">
        <v>1279</v>
      </c>
      <c r="C22" s="898"/>
      <c r="D22" s="885"/>
      <c r="E22" s="888"/>
      <c r="F22" s="159"/>
    </row>
    <row r="23" spans="1:6" s="157" customFormat="1">
      <c r="A23" s="896"/>
      <c r="B23" s="160" t="s">
        <v>1280</v>
      </c>
      <c r="C23" s="898"/>
      <c r="D23" s="886"/>
      <c r="E23" s="889"/>
      <c r="F23" s="159"/>
    </row>
    <row r="24" spans="1:6" s="157" customFormat="1" ht="12.75" customHeight="1">
      <c r="A24" s="880" t="s">
        <v>1271</v>
      </c>
      <c r="B24" s="158" t="s">
        <v>1277</v>
      </c>
      <c r="C24" s="893" t="s">
        <v>1278</v>
      </c>
      <c r="D24" s="885">
        <v>50</v>
      </c>
      <c r="E24" s="888" t="s">
        <v>1274</v>
      </c>
      <c r="F24" s="159"/>
    </row>
    <row r="25" spans="1:6" s="157" customFormat="1">
      <c r="A25" s="891"/>
      <c r="B25" s="158" t="s">
        <v>1279</v>
      </c>
      <c r="C25" s="894"/>
      <c r="D25" s="885"/>
      <c r="E25" s="888"/>
      <c r="F25" s="159"/>
    </row>
    <row r="26" spans="1:6" s="157" customFormat="1">
      <c r="A26" s="891"/>
      <c r="B26" s="160" t="s">
        <v>1280</v>
      </c>
      <c r="C26" s="894"/>
      <c r="D26" s="886"/>
      <c r="E26" s="889"/>
      <c r="F26" s="159"/>
    </row>
    <row r="27" spans="1:6" s="157" customFormat="1">
      <c r="A27" s="880" t="s">
        <v>1281</v>
      </c>
      <c r="B27" s="158" t="s">
        <v>1277</v>
      </c>
      <c r="C27" s="893" t="s">
        <v>1278</v>
      </c>
      <c r="D27" s="885">
        <v>73</v>
      </c>
      <c r="E27" s="888" t="s">
        <v>1274</v>
      </c>
      <c r="F27" s="159"/>
    </row>
    <row r="28" spans="1:6" s="157" customFormat="1">
      <c r="A28" s="891"/>
      <c r="B28" s="158" t="s">
        <v>1279</v>
      </c>
      <c r="C28" s="894"/>
      <c r="D28" s="885"/>
      <c r="E28" s="888"/>
      <c r="F28" s="159"/>
    </row>
    <row r="29" spans="1:6" s="157" customFormat="1">
      <c r="A29" s="891"/>
      <c r="B29" s="160" t="s">
        <v>1280</v>
      </c>
      <c r="C29" s="894"/>
      <c r="D29" s="886"/>
      <c r="E29" s="889"/>
      <c r="F29" s="159"/>
    </row>
    <row r="30" spans="1:6" s="157" customFormat="1" ht="12.75" customHeight="1">
      <c r="A30" s="880" t="s">
        <v>1282</v>
      </c>
      <c r="B30" s="158" t="s">
        <v>1277</v>
      </c>
      <c r="C30" s="893" t="s">
        <v>1278</v>
      </c>
      <c r="D30" s="885">
        <v>95</v>
      </c>
      <c r="E30" s="888" t="s">
        <v>1274</v>
      </c>
      <c r="F30" s="159"/>
    </row>
    <row r="31" spans="1:6" s="157" customFormat="1">
      <c r="A31" s="891"/>
      <c r="B31" s="158" t="s">
        <v>1279</v>
      </c>
      <c r="C31" s="894"/>
      <c r="D31" s="885"/>
      <c r="E31" s="888"/>
      <c r="F31" s="159"/>
    </row>
    <row r="32" spans="1:6" s="157" customFormat="1" ht="13.8" thickBot="1">
      <c r="A32" s="891"/>
      <c r="B32" s="160" t="s">
        <v>1280</v>
      </c>
      <c r="C32" s="894"/>
      <c r="D32" s="886"/>
      <c r="E32" s="889"/>
    </row>
    <row r="33" spans="1:5" ht="13.8" thickBot="1">
      <c r="A33" s="899" t="s">
        <v>1234</v>
      </c>
      <c r="B33" s="900"/>
      <c r="C33" s="901"/>
      <c r="D33" s="164">
        <f>SUM(D3:D32)</f>
        <v>27147</v>
      </c>
      <c r="E33" s="165"/>
    </row>
    <row r="34" spans="1:5">
      <c r="A34" s="166"/>
      <c r="B34" s="166"/>
      <c r="C34" s="166"/>
      <c r="D34" s="166"/>
      <c r="E34" s="166"/>
    </row>
    <row r="35" spans="1:5">
      <c r="A35" s="167" t="s">
        <v>1283</v>
      </c>
      <c r="B35" s="166"/>
      <c r="C35" s="166"/>
      <c r="D35" s="166"/>
      <c r="E35" s="166"/>
    </row>
    <row r="36" spans="1:5">
      <c r="A36" s="902" t="s">
        <v>1284</v>
      </c>
      <c r="B36" s="902"/>
      <c r="C36" s="902"/>
      <c r="D36" s="166"/>
      <c r="E36" s="166"/>
    </row>
    <row r="37" spans="1:5">
      <c r="A37" s="902" t="s">
        <v>1285</v>
      </c>
      <c r="B37" s="902"/>
      <c r="C37" s="902"/>
      <c r="D37" s="166"/>
      <c r="E37" s="166"/>
    </row>
    <row r="38" spans="1:5">
      <c r="A38" s="902" t="s">
        <v>1286</v>
      </c>
      <c r="B38" s="902"/>
      <c r="C38" s="902"/>
    </row>
    <row r="39" spans="1:5">
      <c r="A39" s="168" t="s">
        <v>1287</v>
      </c>
    </row>
  </sheetData>
  <mergeCells count="45">
    <mergeCell ref="A33:C33"/>
    <mergeCell ref="A36:C36"/>
    <mergeCell ref="A37:C37"/>
    <mergeCell ref="A38:C38"/>
    <mergeCell ref="A27:A29"/>
    <mergeCell ref="C27:C29"/>
    <mergeCell ref="D27:D29"/>
    <mergeCell ref="E27:E29"/>
    <mergeCell ref="A30:A32"/>
    <mergeCell ref="C30:C32"/>
    <mergeCell ref="D30:D32"/>
    <mergeCell ref="E30:E32"/>
    <mergeCell ref="A21:A23"/>
    <mergeCell ref="C21:C23"/>
    <mergeCell ref="D21:D23"/>
    <mergeCell ref="E21:E23"/>
    <mergeCell ref="A24:A26"/>
    <mergeCell ref="C24:C26"/>
    <mergeCell ref="D24:D26"/>
    <mergeCell ref="E24:E26"/>
    <mergeCell ref="A15:A17"/>
    <mergeCell ref="C15:C17"/>
    <mergeCell ref="D15:D17"/>
    <mergeCell ref="E15:E17"/>
    <mergeCell ref="A18:A20"/>
    <mergeCell ref="C18:C20"/>
    <mergeCell ref="D18:D20"/>
    <mergeCell ref="E18:E20"/>
    <mergeCell ref="A9:A11"/>
    <mergeCell ref="C9:C11"/>
    <mergeCell ref="D9:D11"/>
    <mergeCell ref="E9:E11"/>
    <mergeCell ref="A12:A14"/>
    <mergeCell ref="C12:C14"/>
    <mergeCell ref="D12:D14"/>
    <mergeCell ref="E12:E14"/>
    <mergeCell ref="A6:A8"/>
    <mergeCell ref="C6:C8"/>
    <mergeCell ref="D6:D8"/>
    <mergeCell ref="E6:E8"/>
    <mergeCell ref="A1:E1"/>
    <mergeCell ref="A3:A5"/>
    <mergeCell ref="C3:C5"/>
    <mergeCell ref="D3:D5"/>
    <mergeCell ref="E3:E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&amp;LPříloha č. 7&amp;CZávěrečný účet Plzeňského kraje za rok 2010</oddHeader>
    <oddFooter>&amp;LKrajský úřad Plzeňského kraje
Odbor ekonomický&amp;C&amp;P&amp;R&amp;D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86"/>
  <sheetViews>
    <sheetView showGridLines="0" topLeftCell="A7" zoomScaleNormal="100" workbookViewId="0">
      <selection activeCell="K7" sqref="K7"/>
    </sheetView>
  </sheetViews>
  <sheetFormatPr defaultRowHeight="13.2"/>
  <cols>
    <col min="1" max="1" width="2.88671875" customWidth="1"/>
    <col min="2" max="2" width="6.5546875" customWidth="1"/>
    <col min="3" max="3" width="39.6640625" customWidth="1"/>
    <col min="4" max="4" width="13.88671875" hidden="1" customWidth="1"/>
    <col min="5" max="5" width="10.44140625" customWidth="1"/>
    <col min="6" max="6" width="13.88671875" hidden="1" customWidth="1"/>
    <col min="7" max="7" width="10.33203125" customWidth="1"/>
    <col min="8" max="8" width="0" hidden="1" customWidth="1"/>
    <col min="9" max="9" width="10.109375" customWidth="1"/>
    <col min="10" max="10" width="7.109375" customWidth="1"/>
  </cols>
  <sheetData>
    <row r="1" spans="1:10" s="169" customFormat="1" ht="22.5" customHeight="1">
      <c r="A1" s="941" t="s">
        <v>1288</v>
      </c>
      <c r="B1" s="941"/>
      <c r="C1" s="941"/>
      <c r="D1" s="941"/>
      <c r="E1" s="941"/>
      <c r="F1" s="941"/>
      <c r="G1" s="941"/>
      <c r="H1" s="941"/>
      <c r="I1" s="941"/>
      <c r="J1" s="941"/>
    </row>
    <row r="2" spans="1:10" s="169" customFormat="1" ht="13.8" thickBot="1">
      <c r="C2" s="170"/>
      <c r="D2" s="170"/>
      <c r="E2" s="170"/>
      <c r="F2" s="170"/>
      <c r="G2" s="170"/>
      <c r="H2" s="170"/>
    </row>
    <row r="3" spans="1:10" s="171" customFormat="1" ht="21" thickBot="1">
      <c r="A3" s="942" t="s">
        <v>1289</v>
      </c>
      <c r="B3" s="943"/>
      <c r="C3" s="944"/>
      <c r="D3" s="249" t="s">
        <v>1290</v>
      </c>
      <c r="E3" s="249" t="s">
        <v>1126</v>
      </c>
      <c r="F3" s="249" t="s">
        <v>1291</v>
      </c>
      <c r="G3" s="249" t="s">
        <v>1127</v>
      </c>
      <c r="H3" s="249" t="s">
        <v>1292</v>
      </c>
      <c r="I3" s="249" t="s">
        <v>1128</v>
      </c>
      <c r="J3" s="250" t="s">
        <v>1293</v>
      </c>
    </row>
    <row r="4" spans="1:10" s="172" customFormat="1" ht="12" customHeight="1" thickBot="1">
      <c r="A4" s="912" t="s">
        <v>1294</v>
      </c>
      <c r="B4" s="913"/>
      <c r="C4" s="913"/>
      <c r="D4" s="913"/>
      <c r="E4" s="913"/>
      <c r="F4" s="913"/>
      <c r="G4" s="913"/>
      <c r="H4" s="913"/>
      <c r="I4" s="913"/>
      <c r="J4" s="914"/>
    </row>
    <row r="5" spans="1:10" ht="12.9" customHeight="1">
      <c r="A5" s="930" t="s">
        <v>1294</v>
      </c>
      <c r="B5" s="937" t="s">
        <v>1295</v>
      </c>
      <c r="C5" s="108" t="s">
        <v>1296</v>
      </c>
      <c r="D5" s="109">
        <v>0</v>
      </c>
      <c r="E5" s="111">
        <f>D5/1000</f>
        <v>0</v>
      </c>
      <c r="F5" s="110">
        <v>729666</v>
      </c>
      <c r="G5" s="111">
        <f>F5/1000</f>
        <v>729.66600000000005</v>
      </c>
      <c r="H5" s="110">
        <v>729666</v>
      </c>
      <c r="I5" s="173">
        <f>H5/1000</f>
        <v>729.66600000000005</v>
      </c>
      <c r="J5" s="174">
        <f>H5/F5</f>
        <v>1</v>
      </c>
    </row>
    <row r="6" spans="1:10" ht="12.9" customHeight="1">
      <c r="A6" s="931"/>
      <c r="B6" s="935"/>
      <c r="C6" s="94" t="s">
        <v>1297</v>
      </c>
      <c r="D6" s="95">
        <v>0</v>
      </c>
      <c r="E6" s="97">
        <f t="shared" ref="E6:E76" si="0">D6/1000</f>
        <v>0</v>
      </c>
      <c r="F6" s="96">
        <v>825400</v>
      </c>
      <c r="G6" s="97">
        <f t="shared" ref="G6:G76" si="1">F6/1000</f>
        <v>825.4</v>
      </c>
      <c r="H6" s="96">
        <v>811207.2</v>
      </c>
      <c r="I6" s="175">
        <f t="shared" ref="I6:I76" si="2">H6/1000</f>
        <v>811.20719999999994</v>
      </c>
      <c r="J6" s="176">
        <f t="shared" ref="J6:J76" si="3">H6/F6</f>
        <v>0.98280494305791122</v>
      </c>
    </row>
    <row r="7" spans="1:10" ht="12.9" customHeight="1">
      <c r="A7" s="931"/>
      <c r="B7" s="935"/>
      <c r="C7" s="94" t="s">
        <v>1298</v>
      </c>
      <c r="D7" s="95">
        <v>0</v>
      </c>
      <c r="E7" s="97">
        <f t="shared" si="0"/>
        <v>0</v>
      </c>
      <c r="F7" s="96">
        <v>934</v>
      </c>
      <c r="G7" s="97">
        <f t="shared" si="1"/>
        <v>0.93400000000000005</v>
      </c>
      <c r="H7" s="96">
        <v>934</v>
      </c>
      <c r="I7" s="175">
        <f t="shared" si="2"/>
        <v>0.93400000000000005</v>
      </c>
      <c r="J7" s="176">
        <f t="shared" si="3"/>
        <v>1</v>
      </c>
    </row>
    <row r="8" spans="1:10" ht="12.9" customHeight="1" thickBot="1">
      <c r="A8" s="931"/>
      <c r="B8" s="936"/>
      <c r="C8" s="100" t="s">
        <v>1299</v>
      </c>
      <c r="D8" s="101">
        <v>0</v>
      </c>
      <c r="E8" s="103">
        <f t="shared" si="0"/>
        <v>0</v>
      </c>
      <c r="F8" s="102">
        <v>7000</v>
      </c>
      <c r="G8" s="103">
        <f t="shared" si="1"/>
        <v>7</v>
      </c>
      <c r="H8" s="102">
        <v>7000</v>
      </c>
      <c r="I8" s="177">
        <f t="shared" si="2"/>
        <v>7</v>
      </c>
      <c r="J8" s="178">
        <f t="shared" si="3"/>
        <v>1</v>
      </c>
    </row>
    <row r="9" spans="1:10" ht="12.9" customHeight="1" thickBot="1">
      <c r="A9" s="931"/>
      <c r="B9" s="945" t="s">
        <v>1300</v>
      </c>
      <c r="C9" s="911"/>
      <c r="D9" s="179">
        <v>0</v>
      </c>
      <c r="E9" s="180">
        <f t="shared" si="0"/>
        <v>0</v>
      </c>
      <c r="F9" s="181">
        <v>1563000</v>
      </c>
      <c r="G9" s="180">
        <f t="shared" si="1"/>
        <v>1563</v>
      </c>
      <c r="H9" s="181">
        <v>1548807.2</v>
      </c>
      <c r="I9" s="182">
        <f t="shared" si="2"/>
        <v>1548.8072</v>
      </c>
      <c r="J9" s="183">
        <f t="shared" si="3"/>
        <v>0.99091951375559817</v>
      </c>
    </row>
    <row r="10" spans="1:10" ht="30.75" customHeight="1">
      <c r="A10" s="931"/>
      <c r="B10" s="937" t="s">
        <v>1301</v>
      </c>
      <c r="C10" s="108" t="s">
        <v>1302</v>
      </c>
      <c r="D10" s="109">
        <v>0</v>
      </c>
      <c r="E10" s="111">
        <f t="shared" si="0"/>
        <v>0</v>
      </c>
      <c r="F10" s="110">
        <v>1100000</v>
      </c>
      <c r="G10" s="111">
        <f t="shared" si="1"/>
        <v>1100</v>
      </c>
      <c r="H10" s="110">
        <v>1100000</v>
      </c>
      <c r="I10" s="173">
        <f t="shared" si="2"/>
        <v>1100</v>
      </c>
      <c r="J10" s="174">
        <f t="shared" si="3"/>
        <v>1</v>
      </c>
    </row>
    <row r="11" spans="1:10" ht="30.75" customHeight="1" thickBot="1">
      <c r="A11" s="931"/>
      <c r="B11" s="936"/>
      <c r="C11" s="100" t="s">
        <v>1303</v>
      </c>
      <c r="D11" s="101">
        <v>0</v>
      </c>
      <c r="E11" s="103">
        <f t="shared" si="0"/>
        <v>0</v>
      </c>
      <c r="F11" s="102">
        <v>1337000</v>
      </c>
      <c r="G11" s="103">
        <f t="shared" si="1"/>
        <v>1337</v>
      </c>
      <c r="H11" s="102">
        <v>1317000</v>
      </c>
      <c r="I11" s="177">
        <f t="shared" si="2"/>
        <v>1317</v>
      </c>
      <c r="J11" s="178">
        <f t="shared" si="3"/>
        <v>0.98504113687359762</v>
      </c>
    </row>
    <row r="12" spans="1:10" ht="12.9" customHeight="1" thickBot="1">
      <c r="A12" s="932"/>
      <c r="B12" s="945" t="s">
        <v>1304</v>
      </c>
      <c r="C12" s="911"/>
      <c r="D12" s="179">
        <v>0</v>
      </c>
      <c r="E12" s="180">
        <f t="shared" si="0"/>
        <v>0</v>
      </c>
      <c r="F12" s="181">
        <v>2437000</v>
      </c>
      <c r="G12" s="180">
        <f t="shared" si="1"/>
        <v>2437</v>
      </c>
      <c r="H12" s="181">
        <v>2417000</v>
      </c>
      <c r="I12" s="182">
        <f t="shared" si="2"/>
        <v>2417</v>
      </c>
      <c r="J12" s="183">
        <f t="shared" si="3"/>
        <v>0.99179318834632746</v>
      </c>
    </row>
    <row r="13" spans="1:10" ht="12.9" customHeight="1" thickBot="1">
      <c r="A13" s="907" t="s">
        <v>1305</v>
      </c>
      <c r="B13" s="946"/>
      <c r="C13" s="946"/>
      <c r="D13" s="184">
        <v>0</v>
      </c>
      <c r="E13" s="185">
        <f t="shared" si="0"/>
        <v>0</v>
      </c>
      <c r="F13" s="186">
        <v>4000000</v>
      </c>
      <c r="G13" s="185">
        <f t="shared" si="1"/>
        <v>4000</v>
      </c>
      <c r="H13" s="186">
        <v>3965807.2</v>
      </c>
      <c r="I13" s="185">
        <f t="shared" si="2"/>
        <v>3965.8072000000002</v>
      </c>
      <c r="J13" s="187">
        <f t="shared" si="3"/>
        <v>0.99145179999999999</v>
      </c>
    </row>
    <row r="14" spans="1:10" s="172" customFormat="1" ht="12" customHeight="1" thickBot="1">
      <c r="A14" s="912" t="s">
        <v>1306</v>
      </c>
      <c r="B14" s="913"/>
      <c r="C14" s="913"/>
      <c r="D14" s="913"/>
      <c r="E14" s="913"/>
      <c r="F14" s="913"/>
      <c r="G14" s="913"/>
      <c r="H14" s="913"/>
      <c r="I14" s="913"/>
      <c r="J14" s="914"/>
    </row>
    <row r="15" spans="1:10" ht="12.9" customHeight="1">
      <c r="A15" s="930" t="s">
        <v>1306</v>
      </c>
      <c r="B15" s="921" t="s">
        <v>1295</v>
      </c>
      <c r="C15" s="108" t="s">
        <v>1307</v>
      </c>
      <c r="D15" s="109">
        <v>1500000</v>
      </c>
      <c r="E15" s="111">
        <f t="shared" si="0"/>
        <v>1500</v>
      </c>
      <c r="F15" s="110">
        <v>464695.47</v>
      </c>
      <c r="G15" s="111">
        <f t="shared" si="1"/>
        <v>464.69547</v>
      </c>
      <c r="H15" s="110">
        <v>415128.8</v>
      </c>
      <c r="I15" s="173">
        <f t="shared" si="2"/>
        <v>415.12880000000001</v>
      </c>
      <c r="J15" s="174">
        <f t="shared" si="3"/>
        <v>0.89333515560201182</v>
      </c>
    </row>
    <row r="16" spans="1:10" ht="12.9" customHeight="1">
      <c r="A16" s="931"/>
      <c r="B16" s="905"/>
      <c r="C16" s="94" t="s">
        <v>1308</v>
      </c>
      <c r="D16" s="95">
        <v>0</v>
      </c>
      <c r="E16" s="97">
        <f t="shared" si="0"/>
        <v>0</v>
      </c>
      <c r="F16" s="96">
        <v>220917</v>
      </c>
      <c r="G16" s="97">
        <f t="shared" si="1"/>
        <v>220.917</v>
      </c>
      <c r="H16" s="96">
        <v>90514</v>
      </c>
      <c r="I16" s="175">
        <f t="shared" si="2"/>
        <v>90.513999999999996</v>
      </c>
      <c r="J16" s="176">
        <f t="shared" si="3"/>
        <v>0.40971948740929853</v>
      </c>
    </row>
    <row r="17" spans="1:10" ht="12.9" customHeight="1">
      <c r="A17" s="931"/>
      <c r="B17" s="905"/>
      <c r="C17" s="94" t="s">
        <v>1309</v>
      </c>
      <c r="D17" s="95">
        <v>5400000</v>
      </c>
      <c r="E17" s="97">
        <f t="shared" si="0"/>
        <v>5400</v>
      </c>
      <c r="F17" s="96">
        <v>3852000</v>
      </c>
      <c r="G17" s="97">
        <f t="shared" si="1"/>
        <v>3852</v>
      </c>
      <c r="H17" s="96">
        <v>2794808</v>
      </c>
      <c r="I17" s="175">
        <f t="shared" si="2"/>
        <v>2794.808</v>
      </c>
      <c r="J17" s="176">
        <f t="shared" si="3"/>
        <v>0.72554724818276217</v>
      </c>
    </row>
    <row r="18" spans="1:10" ht="19.5" customHeight="1">
      <c r="A18" s="931"/>
      <c r="B18" s="905"/>
      <c r="C18" s="94" t="s">
        <v>1310</v>
      </c>
      <c r="D18" s="95">
        <v>0</v>
      </c>
      <c r="E18" s="97">
        <f t="shared" si="0"/>
        <v>0</v>
      </c>
      <c r="F18" s="96">
        <v>1420000</v>
      </c>
      <c r="G18" s="97">
        <f t="shared" si="1"/>
        <v>1420</v>
      </c>
      <c r="H18" s="96">
        <v>1420000</v>
      </c>
      <c r="I18" s="175">
        <f t="shared" si="2"/>
        <v>1420</v>
      </c>
      <c r="J18" s="176">
        <f t="shared" si="3"/>
        <v>1</v>
      </c>
    </row>
    <row r="19" spans="1:10" ht="12.9" customHeight="1">
      <c r="A19" s="931"/>
      <c r="B19" s="905"/>
      <c r="C19" s="94" t="s">
        <v>1311</v>
      </c>
      <c r="D19" s="95">
        <v>0</v>
      </c>
      <c r="E19" s="97">
        <f t="shared" si="0"/>
        <v>0</v>
      </c>
      <c r="F19" s="96">
        <v>3260000</v>
      </c>
      <c r="G19" s="97">
        <f t="shared" si="1"/>
        <v>3260</v>
      </c>
      <c r="H19" s="96">
        <v>528000</v>
      </c>
      <c r="I19" s="175">
        <f t="shared" si="2"/>
        <v>528</v>
      </c>
      <c r="J19" s="176">
        <f t="shared" si="3"/>
        <v>0.16196319018404909</v>
      </c>
    </row>
    <row r="20" spans="1:10" ht="12.9" customHeight="1">
      <c r="A20" s="931"/>
      <c r="B20" s="905"/>
      <c r="C20" s="94" t="s">
        <v>1312</v>
      </c>
      <c r="D20" s="95">
        <v>2000000</v>
      </c>
      <c r="E20" s="97">
        <f t="shared" si="0"/>
        <v>2000</v>
      </c>
      <c r="F20" s="96">
        <v>2236557</v>
      </c>
      <c r="G20" s="97">
        <f t="shared" si="1"/>
        <v>2236.5569999999998</v>
      </c>
      <c r="H20" s="96">
        <v>2236557</v>
      </c>
      <c r="I20" s="175">
        <f t="shared" si="2"/>
        <v>2236.5569999999998</v>
      </c>
      <c r="J20" s="176">
        <f t="shared" si="3"/>
        <v>1</v>
      </c>
    </row>
    <row r="21" spans="1:10" ht="12.9" customHeight="1">
      <c r="A21" s="931"/>
      <c r="B21" s="905"/>
      <c r="C21" s="94" t="s">
        <v>1313</v>
      </c>
      <c r="D21" s="95">
        <v>285000000</v>
      </c>
      <c r="E21" s="97">
        <f t="shared" si="0"/>
        <v>285000</v>
      </c>
      <c r="F21" s="96">
        <v>313880957.97000003</v>
      </c>
      <c r="G21" s="97">
        <f t="shared" si="1"/>
        <v>313880.95797000005</v>
      </c>
      <c r="H21" s="96">
        <v>313880957.96999997</v>
      </c>
      <c r="I21" s="175">
        <f t="shared" si="2"/>
        <v>313880.95796999999</v>
      </c>
      <c r="J21" s="176">
        <f t="shared" si="3"/>
        <v>0.99999999999999978</v>
      </c>
    </row>
    <row r="22" spans="1:10" ht="20.25" customHeight="1">
      <c r="A22" s="931"/>
      <c r="B22" s="905"/>
      <c r="C22" s="94" t="s">
        <v>1314</v>
      </c>
      <c r="D22" s="95">
        <v>0</v>
      </c>
      <c r="E22" s="97">
        <f t="shared" si="0"/>
        <v>0</v>
      </c>
      <c r="F22" s="96">
        <v>12246190</v>
      </c>
      <c r="G22" s="97">
        <f t="shared" si="1"/>
        <v>12246.19</v>
      </c>
      <c r="H22" s="96">
        <v>12246190</v>
      </c>
      <c r="I22" s="175">
        <f t="shared" si="2"/>
        <v>12246.19</v>
      </c>
      <c r="J22" s="176">
        <f t="shared" si="3"/>
        <v>1</v>
      </c>
    </row>
    <row r="23" spans="1:10" ht="12.9" customHeight="1">
      <c r="A23" s="931"/>
      <c r="B23" s="905"/>
      <c r="C23" s="94" t="s">
        <v>1315</v>
      </c>
      <c r="D23" s="95">
        <v>372400000</v>
      </c>
      <c r="E23" s="97">
        <f t="shared" si="0"/>
        <v>372400</v>
      </c>
      <c r="F23" s="96">
        <v>384312972.56</v>
      </c>
      <c r="G23" s="97">
        <f t="shared" si="1"/>
        <v>384312.97256000002</v>
      </c>
      <c r="H23" s="96">
        <v>384254142</v>
      </c>
      <c r="I23" s="175">
        <f t="shared" si="2"/>
        <v>384254.14199999999</v>
      </c>
      <c r="J23" s="176">
        <f t="shared" si="3"/>
        <v>0.9998469201817255</v>
      </c>
    </row>
    <row r="24" spans="1:10" ht="20.25" customHeight="1">
      <c r="A24" s="931"/>
      <c r="B24" s="905"/>
      <c r="C24" s="94" t="s">
        <v>1316</v>
      </c>
      <c r="D24" s="95">
        <v>0</v>
      </c>
      <c r="E24" s="97">
        <f t="shared" si="0"/>
        <v>0</v>
      </c>
      <c r="F24" s="96">
        <v>135172000</v>
      </c>
      <c r="G24" s="97">
        <f t="shared" si="1"/>
        <v>135172</v>
      </c>
      <c r="H24" s="96">
        <v>135172000</v>
      </c>
      <c r="I24" s="175">
        <f t="shared" si="2"/>
        <v>135172</v>
      </c>
      <c r="J24" s="176">
        <f t="shared" si="3"/>
        <v>1</v>
      </c>
    </row>
    <row r="25" spans="1:10" ht="12.9" customHeight="1" thickBot="1">
      <c r="A25" s="931"/>
      <c r="B25" s="906"/>
      <c r="C25" s="100" t="s">
        <v>1317</v>
      </c>
      <c r="D25" s="101">
        <v>34000000</v>
      </c>
      <c r="E25" s="103">
        <f t="shared" si="0"/>
        <v>34000</v>
      </c>
      <c r="F25" s="102">
        <v>614900.03</v>
      </c>
      <c r="G25" s="103">
        <f t="shared" si="1"/>
        <v>614.90003000000002</v>
      </c>
      <c r="H25" s="102">
        <v>614900.03</v>
      </c>
      <c r="I25" s="177">
        <f t="shared" si="2"/>
        <v>614.90003000000002</v>
      </c>
      <c r="J25" s="178">
        <f t="shared" si="3"/>
        <v>1</v>
      </c>
    </row>
    <row r="26" spans="1:10" ht="12.9" customHeight="1" thickBot="1">
      <c r="A26" s="931"/>
      <c r="B26" s="911" t="s">
        <v>1300</v>
      </c>
      <c r="C26" s="904"/>
      <c r="D26" s="179">
        <v>700300000</v>
      </c>
      <c r="E26" s="180">
        <f t="shared" si="0"/>
        <v>700300</v>
      </c>
      <c r="F26" s="181">
        <v>857681190.02999997</v>
      </c>
      <c r="G26" s="180">
        <f t="shared" si="1"/>
        <v>857681.19002999994</v>
      </c>
      <c r="H26" s="181">
        <v>853653197.79999995</v>
      </c>
      <c r="I26" s="182">
        <f t="shared" si="2"/>
        <v>853653.19779999997</v>
      </c>
      <c r="J26" s="183">
        <f t="shared" si="3"/>
        <v>0.99530362531343475</v>
      </c>
    </row>
    <row r="27" spans="1:10" ht="45" customHeight="1" thickBot="1">
      <c r="A27" s="931"/>
      <c r="B27" s="188" t="s">
        <v>1318</v>
      </c>
      <c r="C27" s="108" t="s">
        <v>1319</v>
      </c>
      <c r="D27" s="109">
        <v>0</v>
      </c>
      <c r="E27" s="111">
        <f t="shared" si="0"/>
        <v>0</v>
      </c>
      <c r="F27" s="110">
        <v>1320000</v>
      </c>
      <c r="G27" s="111">
        <f t="shared" si="1"/>
        <v>1320</v>
      </c>
      <c r="H27" s="110">
        <v>1320000</v>
      </c>
      <c r="I27" s="173">
        <f t="shared" si="2"/>
        <v>1320</v>
      </c>
      <c r="J27" s="174">
        <f t="shared" si="3"/>
        <v>1</v>
      </c>
    </row>
    <row r="28" spans="1:10" ht="12.75" customHeight="1" thickBot="1">
      <c r="A28" s="931"/>
      <c r="B28" s="911" t="s">
        <v>1320</v>
      </c>
      <c r="C28" s="904"/>
      <c r="D28" s="179"/>
      <c r="E28" s="180">
        <v>0</v>
      </c>
      <c r="F28" s="181"/>
      <c r="G28" s="180">
        <v>1320</v>
      </c>
      <c r="H28" s="181"/>
      <c r="I28" s="182">
        <v>1320</v>
      </c>
      <c r="J28" s="183">
        <f>I28/G28</f>
        <v>1</v>
      </c>
    </row>
    <row r="29" spans="1:10" ht="12.9" customHeight="1">
      <c r="A29" s="931"/>
      <c r="B29" s="905" t="s">
        <v>1321</v>
      </c>
      <c r="C29" s="94" t="s">
        <v>1322</v>
      </c>
      <c r="D29" s="95">
        <v>18300000</v>
      </c>
      <c r="E29" s="97">
        <f t="shared" si="0"/>
        <v>18300</v>
      </c>
      <c r="F29" s="96">
        <v>18300000</v>
      </c>
      <c r="G29" s="97">
        <f t="shared" si="1"/>
        <v>18300</v>
      </c>
      <c r="H29" s="96">
        <v>15421712</v>
      </c>
      <c r="I29" s="175">
        <f t="shared" si="2"/>
        <v>15421.712</v>
      </c>
      <c r="J29" s="176">
        <f t="shared" si="3"/>
        <v>0.84271650273224041</v>
      </c>
    </row>
    <row r="30" spans="1:10" ht="12.9" customHeight="1">
      <c r="A30" s="931"/>
      <c r="B30" s="905"/>
      <c r="C30" s="94" t="s">
        <v>1323</v>
      </c>
      <c r="D30" s="95">
        <v>9200000</v>
      </c>
      <c r="E30" s="97">
        <f t="shared" si="0"/>
        <v>9200</v>
      </c>
      <c r="F30" s="96">
        <v>161224445</v>
      </c>
      <c r="G30" s="97">
        <f t="shared" si="1"/>
        <v>161224.44500000001</v>
      </c>
      <c r="H30" s="96">
        <v>107581935.3</v>
      </c>
      <c r="I30" s="175">
        <f t="shared" si="2"/>
        <v>107581.9353</v>
      </c>
      <c r="J30" s="176">
        <f t="shared" si="3"/>
        <v>0.66728054359250544</v>
      </c>
    </row>
    <row r="31" spans="1:10" ht="12.9" customHeight="1">
      <c r="A31" s="931"/>
      <c r="B31" s="905"/>
      <c r="C31" s="94" t="s">
        <v>1324</v>
      </c>
      <c r="D31" s="95">
        <v>6800000</v>
      </c>
      <c r="E31" s="97">
        <f t="shared" si="0"/>
        <v>6800</v>
      </c>
      <c r="F31" s="96">
        <v>0</v>
      </c>
      <c r="G31" s="97">
        <f t="shared" si="1"/>
        <v>0</v>
      </c>
      <c r="H31" s="96">
        <v>0</v>
      </c>
      <c r="I31" s="175">
        <f t="shared" si="2"/>
        <v>0</v>
      </c>
      <c r="J31" s="189" t="s">
        <v>1147</v>
      </c>
    </row>
    <row r="32" spans="1:10" ht="12.9" customHeight="1">
      <c r="A32" s="931"/>
      <c r="B32" s="905"/>
      <c r="C32" s="94" t="s">
        <v>1325</v>
      </c>
      <c r="D32" s="95">
        <v>16000000</v>
      </c>
      <c r="E32" s="97">
        <f t="shared" si="0"/>
        <v>16000</v>
      </c>
      <c r="F32" s="96">
        <v>276771314</v>
      </c>
      <c r="G32" s="97">
        <f t="shared" si="1"/>
        <v>276771.31400000001</v>
      </c>
      <c r="H32" s="96">
        <v>257435034.30000001</v>
      </c>
      <c r="I32" s="175">
        <f t="shared" si="2"/>
        <v>257435.0343</v>
      </c>
      <c r="J32" s="176">
        <f t="shared" si="3"/>
        <v>0.93013625790713272</v>
      </c>
    </row>
    <row r="33" spans="1:10" ht="12.9" customHeight="1">
      <c r="A33" s="931"/>
      <c r="B33" s="905"/>
      <c r="C33" s="94" t="s">
        <v>1326</v>
      </c>
      <c r="D33" s="95">
        <v>508200000</v>
      </c>
      <c r="E33" s="97">
        <f t="shared" si="0"/>
        <v>508200</v>
      </c>
      <c r="F33" s="96">
        <v>551134970</v>
      </c>
      <c r="G33" s="97">
        <f t="shared" si="1"/>
        <v>551134.97</v>
      </c>
      <c r="H33" s="96">
        <v>551134970</v>
      </c>
      <c r="I33" s="175">
        <f t="shared" si="2"/>
        <v>551134.97</v>
      </c>
      <c r="J33" s="176">
        <f t="shared" si="3"/>
        <v>1</v>
      </c>
    </row>
    <row r="34" spans="1:10" ht="12.9" customHeight="1">
      <c r="A34" s="931"/>
      <c r="B34" s="905"/>
      <c r="C34" s="94" t="s">
        <v>1327</v>
      </c>
      <c r="D34" s="95">
        <v>0</v>
      </c>
      <c r="E34" s="97">
        <f t="shared" si="0"/>
        <v>0</v>
      </c>
      <c r="F34" s="96">
        <v>277698433.74000001</v>
      </c>
      <c r="G34" s="97">
        <f t="shared" si="1"/>
        <v>277698.43374000001</v>
      </c>
      <c r="H34" s="96">
        <v>247201888.96000001</v>
      </c>
      <c r="I34" s="175">
        <f t="shared" si="2"/>
        <v>247201.88896000001</v>
      </c>
      <c r="J34" s="176">
        <f t="shared" si="3"/>
        <v>0.89018107027368787</v>
      </c>
    </row>
    <row r="35" spans="1:10" ht="12.9" customHeight="1" thickBot="1">
      <c r="A35" s="931"/>
      <c r="B35" s="906"/>
      <c r="C35" s="100" t="s">
        <v>1328</v>
      </c>
      <c r="D35" s="101">
        <v>0</v>
      </c>
      <c r="E35" s="103">
        <f t="shared" si="0"/>
        <v>0</v>
      </c>
      <c r="F35" s="102">
        <v>1500000</v>
      </c>
      <c r="G35" s="103">
        <f t="shared" si="1"/>
        <v>1500</v>
      </c>
      <c r="H35" s="102">
        <v>1499834</v>
      </c>
      <c r="I35" s="177">
        <f t="shared" si="2"/>
        <v>1499.8340000000001</v>
      </c>
      <c r="J35" s="178">
        <f t="shared" si="3"/>
        <v>0.9998893333333333</v>
      </c>
    </row>
    <row r="36" spans="1:10" ht="12.9" customHeight="1" thickBot="1">
      <c r="A36" s="931"/>
      <c r="B36" s="911" t="s">
        <v>1329</v>
      </c>
      <c r="C36" s="904"/>
      <c r="D36" s="179">
        <v>558500000</v>
      </c>
      <c r="E36" s="180">
        <f t="shared" si="0"/>
        <v>558500</v>
      </c>
      <c r="F36" s="181">
        <v>1286629162.74</v>
      </c>
      <c r="G36" s="180">
        <f t="shared" si="1"/>
        <v>1286629.1627400001</v>
      </c>
      <c r="H36" s="181">
        <v>1180275374.5599999</v>
      </c>
      <c r="I36" s="182">
        <f t="shared" si="2"/>
        <v>1180275.3745599999</v>
      </c>
      <c r="J36" s="183">
        <f t="shared" si="3"/>
        <v>0.917339205996614</v>
      </c>
    </row>
    <row r="37" spans="1:10" ht="20.25" customHeight="1">
      <c r="A37" s="931"/>
      <c r="B37" s="905" t="s">
        <v>1330</v>
      </c>
      <c r="C37" s="94" t="s">
        <v>1310</v>
      </c>
      <c r="D37" s="95">
        <v>0</v>
      </c>
      <c r="E37" s="97">
        <f t="shared" si="0"/>
        <v>0</v>
      </c>
      <c r="F37" s="96">
        <v>3449747.53</v>
      </c>
      <c r="G37" s="97">
        <f t="shared" si="1"/>
        <v>3449.7475299999996</v>
      </c>
      <c r="H37" s="96">
        <v>3449747.53</v>
      </c>
      <c r="I37" s="175">
        <f t="shared" si="2"/>
        <v>3449.7475299999996</v>
      </c>
      <c r="J37" s="176">
        <f t="shared" si="3"/>
        <v>1</v>
      </c>
    </row>
    <row r="38" spans="1:10" ht="18" customHeight="1" thickBot="1">
      <c r="A38" s="931"/>
      <c r="B38" s="906"/>
      <c r="C38" s="100" t="s">
        <v>1331</v>
      </c>
      <c r="D38" s="101">
        <v>25000000</v>
      </c>
      <c r="E38" s="103">
        <f t="shared" si="0"/>
        <v>25000</v>
      </c>
      <c r="F38" s="102">
        <v>0</v>
      </c>
      <c r="G38" s="103">
        <f t="shared" si="1"/>
        <v>0</v>
      </c>
      <c r="H38" s="102">
        <v>0</v>
      </c>
      <c r="I38" s="177">
        <f t="shared" si="2"/>
        <v>0</v>
      </c>
      <c r="J38" s="190" t="s">
        <v>1147</v>
      </c>
    </row>
    <row r="39" spans="1:10" ht="12.9" customHeight="1" thickBot="1">
      <c r="A39" s="931"/>
      <c r="B39" s="911" t="s">
        <v>1332</v>
      </c>
      <c r="C39" s="904"/>
      <c r="D39" s="179">
        <v>25000000</v>
      </c>
      <c r="E39" s="180">
        <f t="shared" si="0"/>
        <v>25000</v>
      </c>
      <c r="F39" s="181">
        <v>3449747.53</v>
      </c>
      <c r="G39" s="180">
        <f t="shared" si="1"/>
        <v>3449.7475299999996</v>
      </c>
      <c r="H39" s="181">
        <v>3449747.53</v>
      </c>
      <c r="I39" s="182">
        <f t="shared" si="2"/>
        <v>3449.7475299999996</v>
      </c>
      <c r="J39" s="183">
        <f t="shared" si="3"/>
        <v>1</v>
      </c>
    </row>
    <row r="40" spans="1:10" ht="31.5" customHeight="1">
      <c r="A40" s="931"/>
      <c r="B40" s="937" t="s">
        <v>1301</v>
      </c>
      <c r="C40" s="108" t="s">
        <v>1333</v>
      </c>
      <c r="D40" s="109">
        <v>0</v>
      </c>
      <c r="E40" s="111">
        <f t="shared" si="0"/>
        <v>0</v>
      </c>
      <c r="F40" s="110">
        <v>400000</v>
      </c>
      <c r="G40" s="111">
        <f t="shared" si="1"/>
        <v>400</v>
      </c>
      <c r="H40" s="110">
        <v>400000</v>
      </c>
      <c r="I40" s="173">
        <f t="shared" si="2"/>
        <v>400</v>
      </c>
      <c r="J40" s="174">
        <f t="shared" si="3"/>
        <v>1</v>
      </c>
    </row>
    <row r="41" spans="1:10" ht="31.5" customHeight="1" thickBot="1">
      <c r="A41" s="931"/>
      <c r="B41" s="936"/>
      <c r="C41" s="100" t="s">
        <v>1334</v>
      </c>
      <c r="D41" s="101">
        <v>0</v>
      </c>
      <c r="E41" s="103">
        <f t="shared" si="0"/>
        <v>0</v>
      </c>
      <c r="F41" s="102">
        <v>20000</v>
      </c>
      <c r="G41" s="103">
        <f t="shared" si="1"/>
        <v>20</v>
      </c>
      <c r="H41" s="102">
        <v>20000</v>
      </c>
      <c r="I41" s="177">
        <f t="shared" si="2"/>
        <v>20</v>
      </c>
      <c r="J41" s="178">
        <f t="shared" si="3"/>
        <v>1</v>
      </c>
    </row>
    <row r="42" spans="1:10" ht="12.9" customHeight="1" thickBot="1">
      <c r="A42" s="932"/>
      <c r="B42" s="928" t="s">
        <v>1304</v>
      </c>
      <c r="C42" s="929"/>
      <c r="D42" s="191">
        <v>0</v>
      </c>
      <c r="E42" s="192">
        <f t="shared" si="0"/>
        <v>0</v>
      </c>
      <c r="F42" s="193">
        <v>420000</v>
      </c>
      <c r="G42" s="192">
        <f t="shared" si="1"/>
        <v>420</v>
      </c>
      <c r="H42" s="193">
        <v>420000</v>
      </c>
      <c r="I42" s="194">
        <f t="shared" si="2"/>
        <v>420</v>
      </c>
      <c r="J42" s="195">
        <f t="shared" si="3"/>
        <v>1</v>
      </c>
    </row>
    <row r="43" spans="1:10" ht="12.9" customHeight="1" thickBot="1">
      <c r="A43" s="907" t="s">
        <v>1335</v>
      </c>
      <c r="B43" s="908"/>
      <c r="C43" s="908"/>
      <c r="D43" s="196">
        <v>1283800000</v>
      </c>
      <c r="E43" s="197">
        <f t="shared" si="0"/>
        <v>1283800</v>
      </c>
      <c r="F43" s="198">
        <v>2149500100.3000002</v>
      </c>
      <c r="G43" s="197">
        <f t="shared" si="1"/>
        <v>2149500.1003</v>
      </c>
      <c r="H43" s="198">
        <v>2039118319.8900001</v>
      </c>
      <c r="I43" s="197">
        <f t="shared" si="2"/>
        <v>2039118.3198900002</v>
      </c>
      <c r="J43" s="199">
        <f t="shared" si="3"/>
        <v>0.94864769701820695</v>
      </c>
    </row>
    <row r="44" spans="1:10" ht="12.9" customHeight="1">
      <c r="A44" s="200"/>
      <c r="B44" s="200"/>
      <c r="C44" s="200"/>
      <c r="D44" s="201"/>
      <c r="E44" s="202"/>
      <c r="F44" s="203"/>
      <c r="G44" s="202"/>
      <c r="H44" s="203"/>
      <c r="I44" s="202"/>
      <c r="J44" s="204"/>
    </row>
    <row r="45" spans="1:10" ht="12.9" customHeight="1">
      <c r="A45" s="200"/>
      <c r="B45" s="200"/>
      <c r="C45" s="200"/>
      <c r="D45" s="201"/>
      <c r="E45" s="202"/>
      <c r="F45" s="203"/>
      <c r="G45" s="202"/>
      <c r="H45" s="203"/>
      <c r="I45" s="202"/>
      <c r="J45" s="204"/>
    </row>
    <row r="46" spans="1:10" ht="12.9" customHeight="1" thickBot="1">
      <c r="A46" s="200"/>
      <c r="B46" s="200"/>
      <c r="C46" s="200"/>
      <c r="D46" s="201"/>
      <c r="E46" s="202"/>
      <c r="F46" s="203"/>
      <c r="G46" s="202"/>
      <c r="H46" s="203"/>
      <c r="I46" s="202"/>
      <c r="J46" s="204"/>
    </row>
    <row r="47" spans="1:10" s="172" customFormat="1" ht="12" customHeight="1" thickBot="1">
      <c r="A47" s="912" t="s">
        <v>1336</v>
      </c>
      <c r="B47" s="913"/>
      <c r="C47" s="913"/>
      <c r="D47" s="913"/>
      <c r="E47" s="913"/>
      <c r="F47" s="913"/>
      <c r="G47" s="913"/>
      <c r="H47" s="913"/>
      <c r="I47" s="913"/>
      <c r="J47" s="914"/>
    </row>
    <row r="48" spans="1:10" ht="21" customHeight="1">
      <c r="A48" s="915" t="s">
        <v>1336</v>
      </c>
      <c r="B48" s="937" t="s">
        <v>1295</v>
      </c>
      <c r="C48" s="108" t="s">
        <v>1337</v>
      </c>
      <c r="D48" s="109">
        <v>5000000</v>
      </c>
      <c r="E48" s="111">
        <f t="shared" si="0"/>
        <v>5000</v>
      </c>
      <c r="F48" s="110">
        <v>3434146.13</v>
      </c>
      <c r="G48" s="111">
        <f t="shared" si="1"/>
        <v>3434.1461300000001</v>
      </c>
      <c r="H48" s="110">
        <v>3436109.64</v>
      </c>
      <c r="I48" s="173">
        <f t="shared" si="2"/>
        <v>3436.1096400000001</v>
      </c>
      <c r="J48" s="174">
        <f t="shared" si="3"/>
        <v>1.0005717607596389</v>
      </c>
    </row>
    <row r="49" spans="1:10" ht="21" customHeight="1" thickBot="1">
      <c r="A49" s="916"/>
      <c r="B49" s="936"/>
      <c r="C49" s="100" t="s">
        <v>1338</v>
      </c>
      <c r="D49" s="101">
        <v>250000</v>
      </c>
      <c r="E49" s="103">
        <f t="shared" si="0"/>
        <v>250</v>
      </c>
      <c r="F49" s="102">
        <v>1050000</v>
      </c>
      <c r="G49" s="103">
        <f t="shared" si="1"/>
        <v>1050</v>
      </c>
      <c r="H49" s="102">
        <v>898242.35</v>
      </c>
      <c r="I49" s="177">
        <f t="shared" si="2"/>
        <v>898.24234999999999</v>
      </c>
      <c r="J49" s="178">
        <f t="shared" si="3"/>
        <v>0.85546890476190474</v>
      </c>
    </row>
    <row r="50" spans="1:10" ht="12.9" customHeight="1" thickBot="1">
      <c r="A50" s="916"/>
      <c r="B50" s="911" t="s">
        <v>1300</v>
      </c>
      <c r="C50" s="904"/>
      <c r="D50" s="179">
        <v>5250000</v>
      </c>
      <c r="E50" s="180">
        <f t="shared" si="0"/>
        <v>5250</v>
      </c>
      <c r="F50" s="181">
        <v>4484146.13</v>
      </c>
      <c r="G50" s="180">
        <f t="shared" si="1"/>
        <v>4484.1461300000001</v>
      </c>
      <c r="H50" s="181">
        <v>4334351.99</v>
      </c>
      <c r="I50" s="182">
        <f t="shared" si="2"/>
        <v>4334.3519900000001</v>
      </c>
      <c r="J50" s="183">
        <f t="shared" si="3"/>
        <v>0.96659472379861988</v>
      </c>
    </row>
    <row r="51" spans="1:10" ht="60" customHeight="1" thickBot="1">
      <c r="A51" s="916"/>
      <c r="B51" s="221" t="s">
        <v>1301</v>
      </c>
      <c r="C51" s="205" t="s">
        <v>1337</v>
      </c>
      <c r="D51" s="206">
        <v>0</v>
      </c>
      <c r="E51" s="207">
        <f t="shared" si="0"/>
        <v>0</v>
      </c>
      <c r="F51" s="208">
        <v>1459251.46</v>
      </c>
      <c r="G51" s="207">
        <f t="shared" si="1"/>
        <v>1459.25146</v>
      </c>
      <c r="H51" s="208">
        <v>1459251.46</v>
      </c>
      <c r="I51" s="209">
        <f t="shared" si="2"/>
        <v>1459.25146</v>
      </c>
      <c r="J51" s="210">
        <f t="shared" si="3"/>
        <v>1</v>
      </c>
    </row>
    <row r="52" spans="1:10" ht="12.9" customHeight="1" thickBot="1">
      <c r="A52" s="917"/>
      <c r="B52" s="903" t="s">
        <v>1304</v>
      </c>
      <c r="C52" s="904"/>
      <c r="D52" s="179">
        <v>5250000</v>
      </c>
      <c r="E52" s="180">
        <v>0</v>
      </c>
      <c r="F52" s="181">
        <v>4484146.13</v>
      </c>
      <c r="G52" s="180">
        <f>G51</f>
        <v>1459.25146</v>
      </c>
      <c r="H52" s="181">
        <v>4334351.99</v>
      </c>
      <c r="I52" s="182">
        <f>I51</f>
        <v>1459.25146</v>
      </c>
      <c r="J52" s="183">
        <f>I52/G52</f>
        <v>1</v>
      </c>
    </row>
    <row r="53" spans="1:10" ht="12.9" customHeight="1" thickBot="1">
      <c r="A53" s="907" t="s">
        <v>1339</v>
      </c>
      <c r="B53" s="908"/>
      <c r="C53" s="908"/>
      <c r="D53" s="196">
        <v>5250000</v>
      </c>
      <c r="E53" s="197">
        <f t="shared" si="0"/>
        <v>5250</v>
      </c>
      <c r="F53" s="198">
        <v>5943397.5899999999</v>
      </c>
      <c r="G53" s="197">
        <f t="shared" si="1"/>
        <v>5943.3975899999996</v>
      </c>
      <c r="H53" s="198">
        <v>5793603.4500000002</v>
      </c>
      <c r="I53" s="197">
        <f t="shared" si="2"/>
        <v>5793.6034500000005</v>
      </c>
      <c r="J53" s="199">
        <f t="shared" si="3"/>
        <v>0.97479654730620169</v>
      </c>
    </row>
    <row r="54" spans="1:10" s="172" customFormat="1" ht="12" customHeight="1" thickBot="1">
      <c r="A54" s="912" t="s">
        <v>1340</v>
      </c>
      <c r="B54" s="913"/>
      <c r="C54" s="913"/>
      <c r="D54" s="913"/>
      <c r="E54" s="913"/>
      <c r="F54" s="913"/>
      <c r="G54" s="913"/>
      <c r="H54" s="913"/>
      <c r="I54" s="913"/>
      <c r="J54" s="914"/>
    </row>
    <row r="55" spans="1:10" ht="12.9" customHeight="1">
      <c r="A55" s="930" t="s">
        <v>1340</v>
      </c>
      <c r="B55" s="921" t="s">
        <v>1295</v>
      </c>
      <c r="C55" s="108" t="s">
        <v>1341</v>
      </c>
      <c r="D55" s="109">
        <v>215000</v>
      </c>
      <c r="E55" s="111">
        <f t="shared" si="0"/>
        <v>215</v>
      </c>
      <c r="F55" s="110">
        <v>215000</v>
      </c>
      <c r="G55" s="111">
        <f t="shared" si="1"/>
        <v>215</v>
      </c>
      <c r="H55" s="110">
        <v>45170</v>
      </c>
      <c r="I55" s="173">
        <f t="shared" si="2"/>
        <v>45.17</v>
      </c>
      <c r="J55" s="174">
        <f t="shared" si="3"/>
        <v>0.21009302325581394</v>
      </c>
    </row>
    <row r="56" spans="1:10" ht="12.9" customHeight="1">
      <c r="A56" s="931"/>
      <c r="B56" s="905"/>
      <c r="C56" s="94" t="s">
        <v>1342</v>
      </c>
      <c r="D56" s="95">
        <v>3600000</v>
      </c>
      <c r="E56" s="97">
        <f t="shared" si="0"/>
        <v>3600</v>
      </c>
      <c r="F56" s="96">
        <v>3600000</v>
      </c>
      <c r="G56" s="97">
        <f t="shared" si="1"/>
        <v>3600</v>
      </c>
      <c r="H56" s="96">
        <v>9966</v>
      </c>
      <c r="I56" s="175">
        <f t="shared" si="2"/>
        <v>9.9659999999999993</v>
      </c>
      <c r="J56" s="176">
        <f t="shared" si="3"/>
        <v>2.7683333333333331E-3</v>
      </c>
    </row>
    <row r="57" spans="1:10" ht="22.5" customHeight="1">
      <c r="A57" s="931"/>
      <c r="B57" s="905"/>
      <c r="C57" s="94" t="s">
        <v>1343</v>
      </c>
      <c r="D57" s="95">
        <v>10000</v>
      </c>
      <c r="E57" s="97">
        <f t="shared" si="0"/>
        <v>10</v>
      </c>
      <c r="F57" s="96">
        <v>10000</v>
      </c>
      <c r="G57" s="97">
        <f t="shared" si="1"/>
        <v>10</v>
      </c>
      <c r="H57" s="96">
        <v>711</v>
      </c>
      <c r="I57" s="175">
        <f t="shared" si="2"/>
        <v>0.71099999999999997</v>
      </c>
      <c r="J57" s="176">
        <f t="shared" si="3"/>
        <v>7.1099999999999997E-2</v>
      </c>
    </row>
    <row r="58" spans="1:10" ht="12.9" customHeight="1">
      <c r="A58" s="931"/>
      <c r="B58" s="905"/>
      <c r="C58" s="94" t="s">
        <v>1344</v>
      </c>
      <c r="D58" s="95">
        <v>130000</v>
      </c>
      <c r="E58" s="97">
        <f t="shared" si="0"/>
        <v>130</v>
      </c>
      <c r="F58" s="96">
        <v>130000</v>
      </c>
      <c r="G58" s="97">
        <f t="shared" si="1"/>
        <v>130</v>
      </c>
      <c r="H58" s="96">
        <v>78496</v>
      </c>
      <c r="I58" s="175">
        <f t="shared" si="2"/>
        <v>78.495999999999995</v>
      </c>
      <c r="J58" s="176">
        <f t="shared" si="3"/>
        <v>0.60381538461538464</v>
      </c>
    </row>
    <row r="59" spans="1:10" ht="12.9" customHeight="1">
      <c r="A59" s="931"/>
      <c r="B59" s="905"/>
      <c r="C59" s="94" t="s">
        <v>1345</v>
      </c>
      <c r="D59" s="95">
        <v>834000</v>
      </c>
      <c r="E59" s="97">
        <f t="shared" si="0"/>
        <v>834</v>
      </c>
      <c r="F59" s="96">
        <v>834000</v>
      </c>
      <c r="G59" s="97">
        <f t="shared" si="1"/>
        <v>834</v>
      </c>
      <c r="H59" s="96">
        <v>40598</v>
      </c>
      <c r="I59" s="175">
        <f t="shared" si="2"/>
        <v>40.597999999999999</v>
      </c>
      <c r="J59" s="176">
        <f t="shared" si="3"/>
        <v>4.8678657074340527E-2</v>
      </c>
    </row>
    <row r="60" spans="1:10" ht="12.9" customHeight="1" thickBot="1">
      <c r="A60" s="931"/>
      <c r="B60" s="906"/>
      <c r="C60" s="100" t="s">
        <v>1346</v>
      </c>
      <c r="D60" s="101">
        <v>0</v>
      </c>
      <c r="E60" s="103">
        <f t="shared" si="0"/>
        <v>0</v>
      </c>
      <c r="F60" s="102">
        <v>4679000</v>
      </c>
      <c r="G60" s="103">
        <f t="shared" si="1"/>
        <v>4679</v>
      </c>
      <c r="H60" s="102">
        <v>4679000</v>
      </c>
      <c r="I60" s="177">
        <f t="shared" si="2"/>
        <v>4679</v>
      </c>
      <c r="J60" s="178">
        <f t="shared" si="3"/>
        <v>1</v>
      </c>
    </row>
    <row r="61" spans="1:10" ht="12.9" customHeight="1" thickBot="1">
      <c r="A61" s="931"/>
      <c r="B61" s="911" t="s">
        <v>1300</v>
      </c>
      <c r="C61" s="904"/>
      <c r="D61" s="179">
        <v>4789000</v>
      </c>
      <c r="E61" s="180">
        <f t="shared" si="0"/>
        <v>4789</v>
      </c>
      <c r="F61" s="181">
        <v>9468000</v>
      </c>
      <c r="G61" s="180">
        <f t="shared" si="1"/>
        <v>9468</v>
      </c>
      <c r="H61" s="181">
        <v>4853941</v>
      </c>
      <c r="I61" s="182">
        <f t="shared" si="2"/>
        <v>4853.9409999999998</v>
      </c>
      <c r="J61" s="183">
        <f t="shared" si="3"/>
        <v>0.51266803971271657</v>
      </c>
    </row>
    <row r="62" spans="1:10" ht="48" customHeight="1" thickBot="1">
      <c r="A62" s="931"/>
      <c r="B62" s="211" t="s">
        <v>1347</v>
      </c>
      <c r="C62" s="108" t="s">
        <v>1341</v>
      </c>
      <c r="D62" s="109">
        <v>300000</v>
      </c>
      <c r="E62" s="111">
        <f t="shared" si="0"/>
        <v>300</v>
      </c>
      <c r="F62" s="110">
        <v>300000</v>
      </c>
      <c r="G62" s="111">
        <f t="shared" si="1"/>
        <v>300</v>
      </c>
      <c r="H62" s="110">
        <v>0</v>
      </c>
      <c r="I62" s="173">
        <f t="shared" si="2"/>
        <v>0</v>
      </c>
      <c r="J62" s="174">
        <f t="shared" si="3"/>
        <v>0</v>
      </c>
    </row>
    <row r="63" spans="1:10" ht="12.9" customHeight="1" thickBot="1">
      <c r="A63" s="931"/>
      <c r="B63" s="911" t="s">
        <v>1348</v>
      </c>
      <c r="C63" s="904"/>
      <c r="D63" s="179">
        <v>4789000</v>
      </c>
      <c r="E63" s="180">
        <v>300</v>
      </c>
      <c r="F63" s="181">
        <v>9468000</v>
      </c>
      <c r="G63" s="180">
        <v>300</v>
      </c>
      <c r="H63" s="181">
        <v>4853941</v>
      </c>
      <c r="I63" s="182">
        <v>0</v>
      </c>
      <c r="J63" s="183">
        <v>0</v>
      </c>
    </row>
    <row r="64" spans="1:10" ht="12.9" customHeight="1">
      <c r="A64" s="931"/>
      <c r="B64" s="935" t="s">
        <v>1301</v>
      </c>
      <c r="C64" s="94" t="s">
        <v>1349</v>
      </c>
      <c r="D64" s="95">
        <v>15000000</v>
      </c>
      <c r="E64" s="97">
        <f t="shared" si="0"/>
        <v>15000</v>
      </c>
      <c r="F64" s="96">
        <v>16000000</v>
      </c>
      <c r="G64" s="97">
        <f t="shared" si="1"/>
        <v>16000</v>
      </c>
      <c r="H64" s="96">
        <v>16000000</v>
      </c>
      <c r="I64" s="175">
        <f t="shared" si="2"/>
        <v>16000</v>
      </c>
      <c r="J64" s="176">
        <f t="shared" si="3"/>
        <v>1</v>
      </c>
    </row>
    <row r="65" spans="1:10" ht="20.25" customHeight="1">
      <c r="A65" s="931"/>
      <c r="B65" s="935"/>
      <c r="C65" s="94" t="s">
        <v>1350</v>
      </c>
      <c r="D65" s="95">
        <v>0</v>
      </c>
      <c r="E65" s="97">
        <f t="shared" si="0"/>
        <v>0</v>
      </c>
      <c r="F65" s="96">
        <v>3000000</v>
      </c>
      <c r="G65" s="97">
        <f t="shared" si="1"/>
        <v>3000</v>
      </c>
      <c r="H65" s="96">
        <v>3000000</v>
      </c>
      <c r="I65" s="175">
        <f t="shared" si="2"/>
        <v>3000</v>
      </c>
      <c r="J65" s="176">
        <f t="shared" si="3"/>
        <v>1</v>
      </c>
    </row>
    <row r="66" spans="1:10" ht="12.9" customHeight="1">
      <c r="A66" s="931"/>
      <c r="B66" s="935"/>
      <c r="C66" s="94" t="s">
        <v>1351</v>
      </c>
      <c r="D66" s="95">
        <v>13500000</v>
      </c>
      <c r="E66" s="97">
        <f t="shared" si="0"/>
        <v>13500</v>
      </c>
      <c r="F66" s="96">
        <v>13500000</v>
      </c>
      <c r="G66" s="97">
        <f t="shared" si="1"/>
        <v>13500</v>
      </c>
      <c r="H66" s="96">
        <v>13499334</v>
      </c>
      <c r="I66" s="175">
        <f t="shared" si="2"/>
        <v>13499.334000000001</v>
      </c>
      <c r="J66" s="176">
        <f t="shared" si="3"/>
        <v>0.99995066666666665</v>
      </c>
    </row>
    <row r="67" spans="1:10" ht="12.9" customHeight="1" thickBot="1">
      <c r="A67" s="931"/>
      <c r="B67" s="936"/>
      <c r="C67" s="100" t="s">
        <v>1352</v>
      </c>
      <c r="D67" s="101">
        <v>3150000</v>
      </c>
      <c r="E67" s="103">
        <f t="shared" si="0"/>
        <v>3150</v>
      </c>
      <c r="F67" s="102">
        <v>3150000</v>
      </c>
      <c r="G67" s="103">
        <f t="shared" si="1"/>
        <v>3150</v>
      </c>
      <c r="H67" s="102">
        <v>3150000</v>
      </c>
      <c r="I67" s="177">
        <f t="shared" si="2"/>
        <v>3150</v>
      </c>
      <c r="J67" s="178">
        <f t="shared" si="3"/>
        <v>1</v>
      </c>
    </row>
    <row r="68" spans="1:10" ht="12.9" customHeight="1" thickBot="1">
      <c r="A68" s="932"/>
      <c r="B68" s="928" t="s">
        <v>1304</v>
      </c>
      <c r="C68" s="929"/>
      <c r="D68" s="191">
        <v>31650000</v>
      </c>
      <c r="E68" s="192">
        <f t="shared" si="0"/>
        <v>31650</v>
      </c>
      <c r="F68" s="193">
        <v>35650000</v>
      </c>
      <c r="G68" s="192">
        <f t="shared" si="1"/>
        <v>35650</v>
      </c>
      <c r="H68" s="193">
        <v>35649334</v>
      </c>
      <c r="I68" s="194">
        <f t="shared" si="2"/>
        <v>35649.334000000003</v>
      </c>
      <c r="J68" s="195">
        <f t="shared" si="3"/>
        <v>0.99998131837307158</v>
      </c>
    </row>
    <row r="69" spans="1:10" ht="12.9" customHeight="1" thickBot="1">
      <c r="A69" s="907" t="s">
        <v>1353</v>
      </c>
      <c r="B69" s="908"/>
      <c r="C69" s="908"/>
      <c r="D69" s="196">
        <v>36739000</v>
      </c>
      <c r="E69" s="197">
        <f t="shared" si="0"/>
        <v>36739</v>
      </c>
      <c r="F69" s="198">
        <v>45418000</v>
      </c>
      <c r="G69" s="197">
        <f t="shared" si="1"/>
        <v>45418</v>
      </c>
      <c r="H69" s="198">
        <v>40503275</v>
      </c>
      <c r="I69" s="197">
        <f t="shared" si="2"/>
        <v>40503.275000000001</v>
      </c>
      <c r="J69" s="199">
        <f t="shared" si="3"/>
        <v>0.89178904839490947</v>
      </c>
    </row>
    <row r="70" spans="1:10" s="172" customFormat="1" ht="12" customHeight="1" thickBot="1">
      <c r="A70" s="912" t="s">
        <v>1354</v>
      </c>
      <c r="B70" s="913"/>
      <c r="C70" s="913"/>
      <c r="D70" s="913"/>
      <c r="E70" s="913"/>
      <c r="F70" s="913"/>
      <c r="G70" s="913"/>
      <c r="H70" s="913"/>
      <c r="I70" s="913"/>
      <c r="J70" s="914"/>
    </row>
    <row r="71" spans="1:10" ht="12.9" customHeight="1">
      <c r="A71" s="915" t="s">
        <v>1354</v>
      </c>
      <c r="B71" s="938" t="s">
        <v>1355</v>
      </c>
      <c r="C71" s="108" t="s">
        <v>1356</v>
      </c>
      <c r="D71" s="109">
        <v>800000</v>
      </c>
      <c r="E71" s="111">
        <f t="shared" si="0"/>
        <v>800</v>
      </c>
      <c r="F71" s="110">
        <v>950000</v>
      </c>
      <c r="G71" s="111">
        <f t="shared" si="1"/>
        <v>950</v>
      </c>
      <c r="H71" s="110">
        <v>879738.55</v>
      </c>
      <c r="I71" s="173">
        <f t="shared" si="2"/>
        <v>879.73855000000003</v>
      </c>
      <c r="J71" s="174">
        <f t="shared" si="3"/>
        <v>0.92604057894736846</v>
      </c>
    </row>
    <row r="72" spans="1:10" ht="12.9" customHeight="1">
      <c r="A72" s="916"/>
      <c r="B72" s="939"/>
      <c r="C72" s="94" t="s">
        <v>1357</v>
      </c>
      <c r="D72" s="95">
        <v>200000</v>
      </c>
      <c r="E72" s="97">
        <f t="shared" si="0"/>
        <v>200</v>
      </c>
      <c r="F72" s="96">
        <v>0</v>
      </c>
      <c r="G72" s="97">
        <f t="shared" si="1"/>
        <v>0</v>
      </c>
      <c r="H72" s="96">
        <v>0</v>
      </c>
      <c r="I72" s="175">
        <f t="shared" si="2"/>
        <v>0</v>
      </c>
      <c r="J72" s="189" t="s">
        <v>1147</v>
      </c>
    </row>
    <row r="73" spans="1:10" ht="12.9" customHeight="1">
      <c r="A73" s="916"/>
      <c r="B73" s="939"/>
      <c r="C73" s="94" t="s">
        <v>1358</v>
      </c>
      <c r="D73" s="95">
        <v>600000</v>
      </c>
      <c r="E73" s="97">
        <f t="shared" si="0"/>
        <v>600</v>
      </c>
      <c r="F73" s="96">
        <v>1200000</v>
      </c>
      <c r="G73" s="97">
        <f t="shared" si="1"/>
        <v>1200</v>
      </c>
      <c r="H73" s="96">
        <v>473602.8</v>
      </c>
      <c r="I73" s="175">
        <f t="shared" si="2"/>
        <v>473.6028</v>
      </c>
      <c r="J73" s="176">
        <f t="shared" si="3"/>
        <v>0.39466899999999999</v>
      </c>
    </row>
    <row r="74" spans="1:10" ht="12.9" customHeight="1">
      <c r="A74" s="916"/>
      <c r="B74" s="939"/>
      <c r="C74" s="94" t="s">
        <v>1359</v>
      </c>
      <c r="D74" s="95">
        <v>0</v>
      </c>
      <c r="E74" s="97">
        <f t="shared" si="0"/>
        <v>0</v>
      </c>
      <c r="F74" s="96">
        <v>9392334.1999999993</v>
      </c>
      <c r="G74" s="97">
        <f t="shared" si="1"/>
        <v>9392.3341999999993</v>
      </c>
      <c r="H74" s="96">
        <v>9363851.5500000007</v>
      </c>
      <c r="I74" s="175">
        <f t="shared" si="2"/>
        <v>9363.8515500000012</v>
      </c>
      <c r="J74" s="176">
        <f t="shared" si="3"/>
        <v>0.99696745778062301</v>
      </c>
    </row>
    <row r="75" spans="1:10" ht="42" customHeight="1">
      <c r="A75" s="916"/>
      <c r="B75" s="939"/>
      <c r="C75" s="94" t="s">
        <v>1360</v>
      </c>
      <c r="D75" s="95">
        <v>1500000</v>
      </c>
      <c r="E75" s="97">
        <f t="shared" si="0"/>
        <v>1500</v>
      </c>
      <c r="F75" s="96">
        <v>2800000</v>
      </c>
      <c r="G75" s="97">
        <f t="shared" si="1"/>
        <v>2800</v>
      </c>
      <c r="H75" s="96">
        <v>1966553.5</v>
      </c>
      <c r="I75" s="175">
        <f t="shared" si="2"/>
        <v>1966.5535</v>
      </c>
      <c r="J75" s="176">
        <f t="shared" si="3"/>
        <v>0.70234053571428567</v>
      </c>
    </row>
    <row r="76" spans="1:10" ht="56.25" customHeight="1">
      <c r="A76" s="916"/>
      <c r="B76" s="939"/>
      <c r="C76" s="94" t="s">
        <v>1361</v>
      </c>
      <c r="D76" s="95">
        <v>2580000</v>
      </c>
      <c r="E76" s="97">
        <f t="shared" si="0"/>
        <v>2580</v>
      </c>
      <c r="F76" s="96">
        <v>5485000</v>
      </c>
      <c r="G76" s="97">
        <f t="shared" si="1"/>
        <v>5485</v>
      </c>
      <c r="H76" s="96">
        <v>4994257.8600000003</v>
      </c>
      <c r="I76" s="175">
        <f t="shared" si="2"/>
        <v>4994.2578600000006</v>
      </c>
      <c r="J76" s="176">
        <f t="shared" si="3"/>
        <v>0.91053014767547868</v>
      </c>
    </row>
    <row r="77" spans="1:10" ht="12.9" customHeight="1">
      <c r="A77" s="916"/>
      <c r="B77" s="939"/>
      <c r="C77" s="94" t="s">
        <v>1362</v>
      </c>
      <c r="D77" s="95">
        <v>1900000</v>
      </c>
      <c r="E77" s="97">
        <f t="shared" ref="E77:E140" si="4">D77/1000</f>
        <v>1900</v>
      </c>
      <c r="F77" s="96">
        <v>1528000</v>
      </c>
      <c r="G77" s="97">
        <f t="shared" ref="G77:G140" si="5">F77/1000</f>
        <v>1528</v>
      </c>
      <c r="H77" s="96">
        <v>956179.8</v>
      </c>
      <c r="I77" s="175">
        <f t="shared" ref="I77:I140" si="6">H77/1000</f>
        <v>956.1798</v>
      </c>
      <c r="J77" s="176">
        <f t="shared" ref="J77:J140" si="7">H77/F77</f>
        <v>0.62577212041884822</v>
      </c>
    </row>
    <row r="78" spans="1:10" ht="12.9" customHeight="1">
      <c r="A78" s="916"/>
      <c r="B78" s="939"/>
      <c r="C78" s="94" t="s">
        <v>1363</v>
      </c>
      <c r="D78" s="95">
        <v>560000</v>
      </c>
      <c r="E78" s="97">
        <f t="shared" si="4"/>
        <v>560</v>
      </c>
      <c r="F78" s="96">
        <v>560000</v>
      </c>
      <c r="G78" s="97">
        <f t="shared" si="5"/>
        <v>560</v>
      </c>
      <c r="H78" s="96">
        <v>559910</v>
      </c>
      <c r="I78" s="175">
        <f t="shared" si="6"/>
        <v>559.91</v>
      </c>
      <c r="J78" s="176">
        <f t="shared" si="7"/>
        <v>0.99983928571428571</v>
      </c>
    </row>
    <row r="79" spans="1:10" ht="36.75" customHeight="1">
      <c r="A79" s="916"/>
      <c r="B79" s="939"/>
      <c r="C79" s="94" t="s">
        <v>1364</v>
      </c>
      <c r="D79" s="95">
        <v>6000000</v>
      </c>
      <c r="E79" s="97">
        <f t="shared" si="4"/>
        <v>6000</v>
      </c>
      <c r="F79" s="96">
        <v>5500000</v>
      </c>
      <c r="G79" s="97">
        <f t="shared" si="5"/>
        <v>5500</v>
      </c>
      <c r="H79" s="96">
        <v>2307034</v>
      </c>
      <c r="I79" s="175">
        <f t="shared" si="6"/>
        <v>2307.0340000000001</v>
      </c>
      <c r="J79" s="176">
        <f t="shared" si="7"/>
        <v>0.41946072727272726</v>
      </c>
    </row>
    <row r="80" spans="1:10" ht="35.25" customHeight="1">
      <c r="A80" s="916"/>
      <c r="B80" s="939"/>
      <c r="C80" s="94" t="s">
        <v>1365</v>
      </c>
      <c r="D80" s="95">
        <v>740000</v>
      </c>
      <c r="E80" s="97">
        <f t="shared" si="4"/>
        <v>740</v>
      </c>
      <c r="F80" s="96">
        <v>740000</v>
      </c>
      <c r="G80" s="97">
        <f t="shared" si="5"/>
        <v>740</v>
      </c>
      <c r="H80" s="96">
        <v>739729</v>
      </c>
      <c r="I80" s="175">
        <f t="shared" si="6"/>
        <v>739.72900000000004</v>
      </c>
      <c r="J80" s="176">
        <f t="shared" si="7"/>
        <v>0.99963378378378376</v>
      </c>
    </row>
    <row r="81" spans="1:10" ht="12.9" customHeight="1">
      <c r="A81" s="916"/>
      <c r="B81" s="939"/>
      <c r="C81" s="94" t="s">
        <v>1359</v>
      </c>
      <c r="D81" s="95">
        <v>0</v>
      </c>
      <c r="E81" s="97">
        <f t="shared" si="4"/>
        <v>0</v>
      </c>
      <c r="F81" s="96">
        <v>7922760</v>
      </c>
      <c r="G81" s="97">
        <f t="shared" si="5"/>
        <v>7922.76</v>
      </c>
      <c r="H81" s="96">
        <v>7757106</v>
      </c>
      <c r="I81" s="175">
        <f t="shared" si="6"/>
        <v>7757.1059999999998</v>
      </c>
      <c r="J81" s="176">
        <f t="shared" si="7"/>
        <v>0.97909137724732287</v>
      </c>
    </row>
    <row r="82" spans="1:10" ht="21.75" customHeight="1" thickBot="1">
      <c r="A82" s="916"/>
      <c r="B82" s="940"/>
      <c r="C82" s="100" t="s">
        <v>1366</v>
      </c>
      <c r="D82" s="101">
        <v>200000</v>
      </c>
      <c r="E82" s="103">
        <f t="shared" si="4"/>
        <v>200</v>
      </c>
      <c r="F82" s="102">
        <v>0</v>
      </c>
      <c r="G82" s="103">
        <f t="shared" si="5"/>
        <v>0</v>
      </c>
      <c r="H82" s="102">
        <v>0</v>
      </c>
      <c r="I82" s="177">
        <f t="shared" si="6"/>
        <v>0</v>
      </c>
      <c r="J82" s="190" t="s">
        <v>1147</v>
      </c>
    </row>
    <row r="83" spans="1:10" ht="12.9" customHeight="1" thickBot="1">
      <c r="A83" s="917"/>
      <c r="B83" s="903" t="s">
        <v>1300</v>
      </c>
      <c r="C83" s="904"/>
      <c r="D83" s="179">
        <v>7500000</v>
      </c>
      <c r="E83" s="180">
        <f>SUM(E71:E82)</f>
        <v>15080</v>
      </c>
      <c r="F83" s="181">
        <v>14722760</v>
      </c>
      <c r="G83" s="180">
        <f>SUM(G71:G82)</f>
        <v>36078.0942</v>
      </c>
      <c r="H83" s="181">
        <v>11363779</v>
      </c>
      <c r="I83" s="182">
        <f>SUM(I71:I82)</f>
        <v>29997.963060000002</v>
      </c>
      <c r="J83" s="183">
        <f>I83/G83</f>
        <v>0.83147305103494085</v>
      </c>
    </row>
    <row r="84" spans="1:10" ht="26.25" customHeight="1">
      <c r="A84" s="915" t="s">
        <v>1354</v>
      </c>
      <c r="B84" s="938" t="s">
        <v>1347</v>
      </c>
      <c r="C84" s="88" t="s">
        <v>1359</v>
      </c>
      <c r="D84" s="89">
        <v>0</v>
      </c>
      <c r="E84" s="91">
        <f t="shared" si="4"/>
        <v>0</v>
      </c>
      <c r="F84" s="90">
        <v>593895.02</v>
      </c>
      <c r="G84" s="91">
        <f t="shared" si="5"/>
        <v>593.89502000000005</v>
      </c>
      <c r="H84" s="90">
        <v>593895.02</v>
      </c>
      <c r="I84" s="212">
        <f t="shared" si="6"/>
        <v>593.89502000000005</v>
      </c>
      <c r="J84" s="213">
        <f t="shared" si="7"/>
        <v>1</v>
      </c>
    </row>
    <row r="85" spans="1:10" ht="26.25" customHeight="1" thickBot="1">
      <c r="A85" s="916"/>
      <c r="B85" s="940"/>
      <c r="C85" s="214" t="s">
        <v>1359</v>
      </c>
      <c r="D85" s="215">
        <v>0</v>
      </c>
      <c r="E85" s="216">
        <f t="shared" si="4"/>
        <v>0</v>
      </c>
      <c r="F85" s="217">
        <v>1077240</v>
      </c>
      <c r="G85" s="216">
        <f t="shared" si="5"/>
        <v>1077.24</v>
      </c>
      <c r="H85" s="217">
        <v>1077240</v>
      </c>
      <c r="I85" s="218">
        <f t="shared" si="6"/>
        <v>1077.24</v>
      </c>
      <c r="J85" s="219">
        <f t="shared" si="7"/>
        <v>1</v>
      </c>
    </row>
    <row r="86" spans="1:10" ht="12.9" customHeight="1" thickBot="1">
      <c r="A86" s="916"/>
      <c r="B86" s="911" t="s">
        <v>1348</v>
      </c>
      <c r="C86" s="904"/>
      <c r="D86" s="179">
        <v>7500000</v>
      </c>
      <c r="E86" s="180">
        <v>0</v>
      </c>
      <c r="F86" s="181">
        <v>14722760</v>
      </c>
      <c r="G86" s="180">
        <f>SUM(G84:G85)</f>
        <v>1671.1350200000002</v>
      </c>
      <c r="H86" s="181">
        <v>11363779</v>
      </c>
      <c r="I86" s="182">
        <f>SUM(I84:I85)</f>
        <v>1671.1350200000002</v>
      </c>
      <c r="J86" s="183">
        <f>I86/G86</f>
        <v>1</v>
      </c>
    </row>
    <row r="87" spans="1:10" ht="21.75" customHeight="1">
      <c r="A87" s="916"/>
      <c r="B87" s="918" t="s">
        <v>1367</v>
      </c>
      <c r="C87" s="94" t="s">
        <v>1359</v>
      </c>
      <c r="D87" s="95">
        <v>0</v>
      </c>
      <c r="E87" s="97">
        <f t="shared" si="4"/>
        <v>0</v>
      </c>
      <c r="F87" s="96">
        <v>17104.98</v>
      </c>
      <c r="G87" s="97">
        <f t="shared" si="5"/>
        <v>17.104980000000001</v>
      </c>
      <c r="H87" s="96">
        <v>0</v>
      </c>
      <c r="I87" s="175">
        <f t="shared" si="6"/>
        <v>0</v>
      </c>
      <c r="J87" s="176">
        <f t="shared" si="7"/>
        <v>0</v>
      </c>
    </row>
    <row r="88" spans="1:10" ht="21.75" customHeight="1" thickBot="1">
      <c r="A88" s="916"/>
      <c r="B88" s="921"/>
      <c r="C88" s="94" t="s">
        <v>1359</v>
      </c>
      <c r="D88" s="95">
        <v>0</v>
      </c>
      <c r="E88" s="97">
        <f t="shared" si="4"/>
        <v>0</v>
      </c>
      <c r="F88" s="96">
        <v>3403715.8</v>
      </c>
      <c r="G88" s="97">
        <f t="shared" si="5"/>
        <v>3403.7157999999999</v>
      </c>
      <c r="H88" s="96">
        <v>0</v>
      </c>
      <c r="I88" s="175">
        <f t="shared" si="6"/>
        <v>0</v>
      </c>
      <c r="J88" s="176">
        <f t="shared" si="7"/>
        <v>0</v>
      </c>
    </row>
    <row r="89" spans="1:10" ht="12.9" customHeight="1" thickBot="1">
      <c r="A89" s="916"/>
      <c r="B89" s="911" t="s">
        <v>1368</v>
      </c>
      <c r="C89" s="904"/>
      <c r="D89" s="179">
        <v>7500000</v>
      </c>
      <c r="E89" s="180">
        <v>0</v>
      </c>
      <c r="F89" s="181">
        <v>14722760</v>
      </c>
      <c r="G89" s="180">
        <f>SUM(G87:G88)</f>
        <v>3420.82078</v>
      </c>
      <c r="H89" s="181">
        <v>11363779</v>
      </c>
      <c r="I89" s="182">
        <f>SUM(I87:I88)</f>
        <v>0</v>
      </c>
      <c r="J89" s="183">
        <f>I89/G89</f>
        <v>0</v>
      </c>
    </row>
    <row r="90" spans="1:10" ht="20.25" customHeight="1">
      <c r="A90" s="916"/>
      <c r="B90" s="918" t="s">
        <v>1321</v>
      </c>
      <c r="C90" s="94" t="s">
        <v>1369</v>
      </c>
      <c r="D90" s="95">
        <v>0</v>
      </c>
      <c r="E90" s="97">
        <f t="shared" si="4"/>
        <v>0</v>
      </c>
      <c r="F90" s="96">
        <v>314720</v>
      </c>
      <c r="G90" s="97">
        <f t="shared" si="5"/>
        <v>314.72000000000003</v>
      </c>
      <c r="H90" s="96">
        <v>314720</v>
      </c>
      <c r="I90" s="175">
        <f t="shared" si="6"/>
        <v>314.72000000000003</v>
      </c>
      <c r="J90" s="176">
        <f t="shared" si="7"/>
        <v>1</v>
      </c>
    </row>
    <row r="91" spans="1:10" ht="12.9" customHeight="1">
      <c r="A91" s="916"/>
      <c r="B91" s="919"/>
      <c r="C91" s="94" t="s">
        <v>1370</v>
      </c>
      <c r="D91" s="95">
        <v>0</v>
      </c>
      <c r="E91" s="97">
        <f t="shared" si="4"/>
        <v>0</v>
      </c>
      <c r="F91" s="96">
        <v>404000</v>
      </c>
      <c r="G91" s="97">
        <f t="shared" si="5"/>
        <v>404</v>
      </c>
      <c r="H91" s="96">
        <v>404000</v>
      </c>
      <c r="I91" s="175">
        <f t="shared" si="6"/>
        <v>404</v>
      </c>
      <c r="J91" s="176">
        <f t="shared" si="7"/>
        <v>1</v>
      </c>
    </row>
    <row r="92" spans="1:10" ht="12.9" customHeight="1">
      <c r="A92" s="916"/>
      <c r="B92" s="919"/>
      <c r="C92" s="94" t="s">
        <v>1371</v>
      </c>
      <c r="D92" s="95">
        <v>0</v>
      </c>
      <c r="E92" s="97">
        <f t="shared" si="4"/>
        <v>0</v>
      </c>
      <c r="F92" s="96">
        <v>510000</v>
      </c>
      <c r="G92" s="97">
        <f t="shared" si="5"/>
        <v>510</v>
      </c>
      <c r="H92" s="96">
        <v>510000</v>
      </c>
      <c r="I92" s="175">
        <f t="shared" si="6"/>
        <v>510</v>
      </c>
      <c r="J92" s="176">
        <f t="shared" si="7"/>
        <v>1</v>
      </c>
    </row>
    <row r="93" spans="1:10" ht="12.9" customHeight="1">
      <c r="A93" s="916"/>
      <c r="B93" s="919"/>
      <c r="C93" s="94" t="s">
        <v>1372</v>
      </c>
      <c r="D93" s="95">
        <v>300000</v>
      </c>
      <c r="E93" s="97">
        <f t="shared" si="4"/>
        <v>300</v>
      </c>
      <c r="F93" s="96">
        <v>300000</v>
      </c>
      <c r="G93" s="97">
        <f t="shared" si="5"/>
        <v>300</v>
      </c>
      <c r="H93" s="96">
        <v>300000</v>
      </c>
      <c r="I93" s="175">
        <f t="shared" si="6"/>
        <v>300</v>
      </c>
      <c r="J93" s="176">
        <f t="shared" si="7"/>
        <v>1</v>
      </c>
    </row>
    <row r="94" spans="1:10" ht="20.25" customHeight="1">
      <c r="A94" s="916"/>
      <c r="B94" s="919"/>
      <c r="C94" s="94" t="s">
        <v>1373</v>
      </c>
      <c r="D94" s="95">
        <v>200000</v>
      </c>
      <c r="E94" s="97">
        <f t="shared" si="4"/>
        <v>200</v>
      </c>
      <c r="F94" s="96">
        <v>200000</v>
      </c>
      <c r="G94" s="97">
        <f t="shared" si="5"/>
        <v>200</v>
      </c>
      <c r="H94" s="96">
        <v>200000</v>
      </c>
      <c r="I94" s="175">
        <f t="shared" si="6"/>
        <v>200</v>
      </c>
      <c r="J94" s="176">
        <f t="shared" si="7"/>
        <v>1</v>
      </c>
    </row>
    <row r="95" spans="1:10" ht="19.5" customHeight="1">
      <c r="A95" s="916"/>
      <c r="B95" s="919"/>
      <c r="C95" s="94" t="s">
        <v>1374</v>
      </c>
      <c r="D95" s="95">
        <v>0</v>
      </c>
      <c r="E95" s="97">
        <f t="shared" si="4"/>
        <v>0</v>
      </c>
      <c r="F95" s="96">
        <v>42000</v>
      </c>
      <c r="G95" s="97">
        <f t="shared" si="5"/>
        <v>42</v>
      </c>
      <c r="H95" s="96">
        <v>42000</v>
      </c>
      <c r="I95" s="175">
        <f t="shared" si="6"/>
        <v>42</v>
      </c>
      <c r="J95" s="176">
        <f t="shared" si="7"/>
        <v>1</v>
      </c>
    </row>
    <row r="96" spans="1:10" ht="12.9" customHeight="1">
      <c r="A96" s="916"/>
      <c r="B96" s="919"/>
      <c r="C96" s="94" t="s">
        <v>1326</v>
      </c>
      <c r="D96" s="95">
        <v>198900000</v>
      </c>
      <c r="E96" s="97">
        <f t="shared" si="4"/>
        <v>198900</v>
      </c>
      <c r="F96" s="96">
        <v>202671817</v>
      </c>
      <c r="G96" s="97">
        <f t="shared" si="5"/>
        <v>202671.81700000001</v>
      </c>
      <c r="H96" s="96">
        <v>202671817</v>
      </c>
      <c r="I96" s="175">
        <f t="shared" si="6"/>
        <v>202671.81700000001</v>
      </c>
      <c r="J96" s="176">
        <f t="shared" si="7"/>
        <v>1</v>
      </c>
    </row>
    <row r="97" spans="1:10" ht="12.9" customHeight="1">
      <c r="A97" s="916"/>
      <c r="B97" s="919"/>
      <c r="C97" s="94" t="s">
        <v>1359</v>
      </c>
      <c r="D97" s="95">
        <v>0</v>
      </c>
      <c r="E97" s="97">
        <f t="shared" si="4"/>
        <v>0</v>
      </c>
      <c r="F97" s="96">
        <v>8000093.6399999997</v>
      </c>
      <c r="G97" s="97">
        <f t="shared" si="5"/>
        <v>8000.0936400000001</v>
      </c>
      <c r="H97" s="96">
        <v>4691718.83</v>
      </c>
      <c r="I97" s="175">
        <f t="shared" si="6"/>
        <v>4691.7188299999998</v>
      </c>
      <c r="J97" s="176">
        <f t="shared" si="7"/>
        <v>0.58645798925923576</v>
      </c>
    </row>
    <row r="98" spans="1:10" ht="12.9" customHeight="1">
      <c r="A98" s="916"/>
      <c r="B98" s="919"/>
      <c r="C98" s="94" t="s">
        <v>1375</v>
      </c>
      <c r="D98" s="95">
        <v>80000</v>
      </c>
      <c r="E98" s="97">
        <f t="shared" si="4"/>
        <v>80</v>
      </c>
      <c r="F98" s="96">
        <v>80000</v>
      </c>
      <c r="G98" s="97">
        <f t="shared" si="5"/>
        <v>80</v>
      </c>
      <c r="H98" s="96">
        <v>80000</v>
      </c>
      <c r="I98" s="175">
        <f t="shared" si="6"/>
        <v>80</v>
      </c>
      <c r="J98" s="176">
        <f t="shared" si="7"/>
        <v>1</v>
      </c>
    </row>
    <row r="99" spans="1:10" ht="19.5" customHeight="1">
      <c r="A99" s="916"/>
      <c r="B99" s="919"/>
      <c r="C99" s="94" t="s">
        <v>1376</v>
      </c>
      <c r="D99" s="95">
        <v>360000</v>
      </c>
      <c r="E99" s="97">
        <f t="shared" si="4"/>
        <v>360</v>
      </c>
      <c r="F99" s="96">
        <v>360000</v>
      </c>
      <c r="G99" s="97">
        <f t="shared" si="5"/>
        <v>360</v>
      </c>
      <c r="H99" s="96">
        <v>360000</v>
      </c>
      <c r="I99" s="175">
        <f t="shared" si="6"/>
        <v>360</v>
      </c>
      <c r="J99" s="176">
        <f t="shared" si="7"/>
        <v>1</v>
      </c>
    </row>
    <row r="100" spans="1:10" ht="12.9" customHeight="1">
      <c r="A100" s="916"/>
      <c r="B100" s="919"/>
      <c r="C100" s="94" t="s">
        <v>1330</v>
      </c>
      <c r="D100" s="95">
        <v>20600000</v>
      </c>
      <c r="E100" s="97">
        <f t="shared" si="4"/>
        <v>20600</v>
      </c>
      <c r="F100" s="96">
        <v>45330143.299999997</v>
      </c>
      <c r="G100" s="97">
        <f t="shared" si="5"/>
        <v>45330.143299999996</v>
      </c>
      <c r="H100" s="96">
        <v>36880890.310000002</v>
      </c>
      <c r="I100" s="175">
        <f t="shared" si="6"/>
        <v>36880.890310000003</v>
      </c>
      <c r="J100" s="176">
        <f t="shared" si="7"/>
        <v>0.8136063031153048</v>
      </c>
    </row>
    <row r="101" spans="1:10" ht="12.9" customHeight="1">
      <c r="A101" s="916"/>
      <c r="B101" s="919"/>
      <c r="C101" s="94" t="s">
        <v>1328</v>
      </c>
      <c r="D101" s="95">
        <v>500000</v>
      </c>
      <c r="E101" s="97">
        <f t="shared" si="4"/>
        <v>500</v>
      </c>
      <c r="F101" s="96">
        <v>500000</v>
      </c>
      <c r="G101" s="97">
        <f t="shared" si="5"/>
        <v>500</v>
      </c>
      <c r="H101" s="96">
        <v>432790</v>
      </c>
      <c r="I101" s="175">
        <f t="shared" si="6"/>
        <v>432.79</v>
      </c>
      <c r="J101" s="176">
        <f t="shared" si="7"/>
        <v>0.86558000000000002</v>
      </c>
    </row>
    <row r="102" spans="1:10" ht="12.9" customHeight="1">
      <c r="A102" s="916"/>
      <c r="B102" s="919"/>
      <c r="C102" s="94" t="s">
        <v>1377</v>
      </c>
      <c r="D102" s="95">
        <v>0</v>
      </c>
      <c r="E102" s="97">
        <f t="shared" si="4"/>
        <v>0</v>
      </c>
      <c r="F102" s="96">
        <v>612000</v>
      </c>
      <c r="G102" s="97">
        <f t="shared" si="5"/>
        <v>612</v>
      </c>
      <c r="H102" s="96">
        <v>612000</v>
      </c>
      <c r="I102" s="175">
        <f t="shared" si="6"/>
        <v>612</v>
      </c>
      <c r="J102" s="176">
        <f t="shared" si="7"/>
        <v>1</v>
      </c>
    </row>
    <row r="103" spans="1:10" ht="12.9" customHeight="1">
      <c r="A103" s="916"/>
      <c r="B103" s="919"/>
      <c r="C103" s="94" t="s">
        <v>1378</v>
      </c>
      <c r="D103" s="95">
        <v>0</v>
      </c>
      <c r="E103" s="97">
        <f t="shared" si="4"/>
        <v>0</v>
      </c>
      <c r="F103" s="96">
        <v>161000</v>
      </c>
      <c r="G103" s="97">
        <f t="shared" si="5"/>
        <v>161</v>
      </c>
      <c r="H103" s="96">
        <v>161000</v>
      </c>
      <c r="I103" s="175">
        <f t="shared" si="6"/>
        <v>161</v>
      </c>
      <c r="J103" s="176">
        <f t="shared" si="7"/>
        <v>1</v>
      </c>
    </row>
    <row r="104" spans="1:10" ht="12.9" customHeight="1" thickBot="1">
      <c r="A104" s="916"/>
      <c r="B104" s="919"/>
      <c r="C104" s="100" t="s">
        <v>1379</v>
      </c>
      <c r="D104" s="101">
        <v>0</v>
      </c>
      <c r="E104" s="103">
        <f t="shared" si="4"/>
        <v>0</v>
      </c>
      <c r="F104" s="102">
        <v>390000</v>
      </c>
      <c r="G104" s="103">
        <f t="shared" si="5"/>
        <v>390</v>
      </c>
      <c r="H104" s="102">
        <v>390000</v>
      </c>
      <c r="I104" s="177">
        <f t="shared" si="6"/>
        <v>390</v>
      </c>
      <c r="J104" s="178">
        <f t="shared" si="7"/>
        <v>1</v>
      </c>
    </row>
    <row r="105" spans="1:10" ht="12.9" customHeight="1" thickBot="1">
      <c r="A105" s="916"/>
      <c r="B105" s="911" t="s">
        <v>1329</v>
      </c>
      <c r="C105" s="904"/>
      <c r="D105" s="179">
        <v>220940000</v>
      </c>
      <c r="E105" s="180">
        <f t="shared" si="4"/>
        <v>220940</v>
      </c>
      <c r="F105" s="181">
        <v>259875773.94</v>
      </c>
      <c r="G105" s="180">
        <f t="shared" si="5"/>
        <v>259875.77393999998</v>
      </c>
      <c r="H105" s="181">
        <v>248050936.13999999</v>
      </c>
      <c r="I105" s="182">
        <f t="shared" si="6"/>
        <v>248050.93613999998</v>
      </c>
      <c r="J105" s="183">
        <f>I105/G105</f>
        <v>0.95449811415384134</v>
      </c>
    </row>
    <row r="106" spans="1:10" ht="37.5" customHeight="1" thickBot="1">
      <c r="A106" s="916"/>
      <c r="B106" s="220" t="s">
        <v>1330</v>
      </c>
      <c r="C106" s="205" t="s">
        <v>1380</v>
      </c>
      <c r="D106" s="206">
        <v>6600000</v>
      </c>
      <c r="E106" s="207">
        <f t="shared" si="4"/>
        <v>6600</v>
      </c>
      <c r="F106" s="208">
        <v>6611830</v>
      </c>
      <c r="G106" s="207">
        <f t="shared" si="5"/>
        <v>6611.83</v>
      </c>
      <c r="H106" s="208">
        <v>6611830</v>
      </c>
      <c r="I106" s="209">
        <f t="shared" si="6"/>
        <v>6611.83</v>
      </c>
      <c r="J106" s="210">
        <f t="shared" si="7"/>
        <v>1</v>
      </c>
    </row>
    <row r="107" spans="1:10" ht="12.9" customHeight="1" thickBot="1">
      <c r="A107" s="916"/>
      <c r="B107" s="911" t="s">
        <v>1332</v>
      </c>
      <c r="C107" s="904"/>
      <c r="D107" s="179">
        <v>6600000</v>
      </c>
      <c r="E107" s="180">
        <f t="shared" si="4"/>
        <v>6600</v>
      </c>
      <c r="F107" s="181">
        <v>6611830</v>
      </c>
      <c r="G107" s="180">
        <f t="shared" si="5"/>
        <v>6611.83</v>
      </c>
      <c r="H107" s="181">
        <v>6611830</v>
      </c>
      <c r="I107" s="182">
        <f t="shared" si="6"/>
        <v>6611.83</v>
      </c>
      <c r="J107" s="183">
        <f t="shared" si="7"/>
        <v>1</v>
      </c>
    </row>
    <row r="108" spans="1:10" ht="34.5" customHeight="1">
      <c r="A108" s="916"/>
      <c r="B108" s="938" t="s">
        <v>1301</v>
      </c>
      <c r="C108" s="88" t="s">
        <v>1381</v>
      </c>
      <c r="D108" s="89">
        <v>2500000</v>
      </c>
      <c r="E108" s="91">
        <f t="shared" si="4"/>
        <v>2500</v>
      </c>
      <c r="F108" s="90">
        <v>2350000</v>
      </c>
      <c r="G108" s="91">
        <f t="shared" si="5"/>
        <v>2350</v>
      </c>
      <c r="H108" s="90">
        <v>2325000</v>
      </c>
      <c r="I108" s="212">
        <f t="shared" si="6"/>
        <v>2325</v>
      </c>
      <c r="J108" s="213">
        <f t="shared" si="7"/>
        <v>0.98936170212765961</v>
      </c>
    </row>
    <row r="109" spans="1:10" ht="21.75" customHeight="1">
      <c r="A109" s="916"/>
      <c r="B109" s="939"/>
      <c r="C109" s="94" t="s">
        <v>1382</v>
      </c>
      <c r="D109" s="95">
        <v>400000</v>
      </c>
      <c r="E109" s="97">
        <f t="shared" si="4"/>
        <v>400</v>
      </c>
      <c r="F109" s="96">
        <v>300000</v>
      </c>
      <c r="G109" s="97">
        <f t="shared" si="5"/>
        <v>300</v>
      </c>
      <c r="H109" s="96">
        <v>300000</v>
      </c>
      <c r="I109" s="175">
        <f t="shared" si="6"/>
        <v>300</v>
      </c>
      <c r="J109" s="176">
        <f t="shared" si="7"/>
        <v>1</v>
      </c>
    </row>
    <row r="110" spans="1:10" ht="13.5" customHeight="1">
      <c r="A110" s="916"/>
      <c r="B110" s="939"/>
      <c r="C110" s="94" t="s">
        <v>1383</v>
      </c>
      <c r="D110" s="95">
        <v>2000000</v>
      </c>
      <c r="E110" s="97">
        <f t="shared" si="4"/>
        <v>2000</v>
      </c>
      <c r="F110" s="96">
        <v>5000000</v>
      </c>
      <c r="G110" s="97">
        <f t="shared" si="5"/>
        <v>5000</v>
      </c>
      <c r="H110" s="96">
        <v>5000000</v>
      </c>
      <c r="I110" s="175">
        <f t="shared" si="6"/>
        <v>5000</v>
      </c>
      <c r="J110" s="176">
        <f t="shared" si="7"/>
        <v>1</v>
      </c>
    </row>
    <row r="111" spans="1:10" ht="13.5" customHeight="1">
      <c r="A111" s="916"/>
      <c r="B111" s="939"/>
      <c r="C111" s="94" t="s">
        <v>1384</v>
      </c>
      <c r="D111" s="95">
        <v>1000000</v>
      </c>
      <c r="E111" s="97">
        <f t="shared" si="4"/>
        <v>1000</v>
      </c>
      <c r="F111" s="96">
        <v>1000000</v>
      </c>
      <c r="G111" s="97">
        <f t="shared" si="5"/>
        <v>1000</v>
      </c>
      <c r="H111" s="96">
        <v>1000000</v>
      </c>
      <c r="I111" s="175">
        <f t="shared" si="6"/>
        <v>1000</v>
      </c>
      <c r="J111" s="176">
        <f t="shared" si="7"/>
        <v>1</v>
      </c>
    </row>
    <row r="112" spans="1:10" ht="13.5" customHeight="1">
      <c r="A112" s="916"/>
      <c r="B112" s="939"/>
      <c r="C112" s="94" t="s">
        <v>1385</v>
      </c>
      <c r="D112" s="95">
        <v>3000000</v>
      </c>
      <c r="E112" s="97">
        <f t="shared" si="4"/>
        <v>3000</v>
      </c>
      <c r="F112" s="96">
        <v>4000000</v>
      </c>
      <c r="G112" s="97">
        <f t="shared" si="5"/>
        <v>4000</v>
      </c>
      <c r="H112" s="96">
        <v>4000000</v>
      </c>
      <c r="I112" s="175">
        <f t="shared" si="6"/>
        <v>4000</v>
      </c>
      <c r="J112" s="176">
        <f t="shared" si="7"/>
        <v>1</v>
      </c>
    </row>
    <row r="113" spans="1:10" ht="13.5" customHeight="1">
      <c r="A113" s="916"/>
      <c r="B113" s="939"/>
      <c r="C113" s="94" t="s">
        <v>1386</v>
      </c>
      <c r="D113" s="95">
        <v>400000</v>
      </c>
      <c r="E113" s="97">
        <f t="shared" si="4"/>
        <v>400</v>
      </c>
      <c r="F113" s="96">
        <v>400000</v>
      </c>
      <c r="G113" s="97">
        <f t="shared" si="5"/>
        <v>400</v>
      </c>
      <c r="H113" s="96">
        <v>400000</v>
      </c>
      <c r="I113" s="175">
        <f t="shared" si="6"/>
        <v>400</v>
      </c>
      <c r="J113" s="176">
        <f t="shared" si="7"/>
        <v>1</v>
      </c>
    </row>
    <row r="114" spans="1:10" ht="22.5" customHeight="1">
      <c r="A114" s="916"/>
      <c r="B114" s="939"/>
      <c r="C114" s="94" t="s">
        <v>1369</v>
      </c>
      <c r="D114" s="95">
        <v>600000</v>
      </c>
      <c r="E114" s="97">
        <f t="shared" si="4"/>
        <v>600</v>
      </c>
      <c r="F114" s="96">
        <v>2143280</v>
      </c>
      <c r="G114" s="97">
        <f t="shared" si="5"/>
        <v>2143.2800000000002</v>
      </c>
      <c r="H114" s="96">
        <v>2040918</v>
      </c>
      <c r="I114" s="175">
        <f t="shared" si="6"/>
        <v>2040.9179999999999</v>
      </c>
      <c r="J114" s="176">
        <f t="shared" si="7"/>
        <v>0.95224049120973464</v>
      </c>
    </row>
    <row r="115" spans="1:10" ht="22.5" customHeight="1">
      <c r="A115" s="916"/>
      <c r="B115" s="939"/>
      <c r="C115" s="94" t="s">
        <v>1387</v>
      </c>
      <c r="D115" s="95">
        <v>100000</v>
      </c>
      <c r="E115" s="97">
        <f t="shared" si="4"/>
        <v>100</v>
      </c>
      <c r="F115" s="96">
        <v>100000</v>
      </c>
      <c r="G115" s="97">
        <f t="shared" si="5"/>
        <v>100</v>
      </c>
      <c r="H115" s="96">
        <v>100000</v>
      </c>
      <c r="I115" s="175">
        <f t="shared" si="6"/>
        <v>100</v>
      </c>
      <c r="J115" s="176">
        <f t="shared" si="7"/>
        <v>1</v>
      </c>
    </row>
    <row r="116" spans="1:10" ht="20.25" customHeight="1">
      <c r="A116" s="916"/>
      <c r="B116" s="939"/>
      <c r="C116" s="94" t="s">
        <v>1388</v>
      </c>
      <c r="D116" s="95">
        <v>100000</v>
      </c>
      <c r="E116" s="97">
        <f t="shared" si="4"/>
        <v>100</v>
      </c>
      <c r="F116" s="96">
        <v>100000</v>
      </c>
      <c r="G116" s="97">
        <f t="shared" si="5"/>
        <v>100</v>
      </c>
      <c r="H116" s="96">
        <v>100000</v>
      </c>
      <c r="I116" s="175">
        <f t="shared" si="6"/>
        <v>100</v>
      </c>
      <c r="J116" s="176">
        <f t="shared" si="7"/>
        <v>1</v>
      </c>
    </row>
    <row r="117" spans="1:10" ht="12.9" customHeight="1">
      <c r="A117" s="916"/>
      <c r="B117" s="939"/>
      <c r="C117" s="94" t="s">
        <v>1389</v>
      </c>
      <c r="D117" s="95">
        <v>150000</v>
      </c>
      <c r="E117" s="97">
        <f t="shared" si="4"/>
        <v>150</v>
      </c>
      <c r="F117" s="96">
        <v>150000</v>
      </c>
      <c r="G117" s="97">
        <f t="shared" si="5"/>
        <v>150</v>
      </c>
      <c r="H117" s="96">
        <v>150000</v>
      </c>
      <c r="I117" s="175">
        <f t="shared" si="6"/>
        <v>150</v>
      </c>
      <c r="J117" s="176">
        <f t="shared" si="7"/>
        <v>1</v>
      </c>
    </row>
    <row r="118" spans="1:10" ht="12.9" customHeight="1">
      <c r="A118" s="916"/>
      <c r="B118" s="939"/>
      <c r="C118" s="94" t="s">
        <v>1390</v>
      </c>
      <c r="D118" s="95">
        <v>700000</v>
      </c>
      <c r="E118" s="97">
        <f t="shared" si="4"/>
        <v>700</v>
      </c>
      <c r="F118" s="96">
        <v>700000</v>
      </c>
      <c r="G118" s="97">
        <f t="shared" si="5"/>
        <v>700</v>
      </c>
      <c r="H118" s="96">
        <v>700000</v>
      </c>
      <c r="I118" s="175">
        <f t="shared" si="6"/>
        <v>700</v>
      </c>
      <c r="J118" s="176">
        <f t="shared" si="7"/>
        <v>1</v>
      </c>
    </row>
    <row r="119" spans="1:10" ht="22.5" customHeight="1">
      <c r="A119" s="916"/>
      <c r="B119" s="939"/>
      <c r="C119" s="94" t="s">
        <v>1391</v>
      </c>
      <c r="D119" s="95">
        <v>70000</v>
      </c>
      <c r="E119" s="97">
        <f t="shared" si="4"/>
        <v>70</v>
      </c>
      <c r="F119" s="96">
        <v>70000</v>
      </c>
      <c r="G119" s="97">
        <f t="shared" si="5"/>
        <v>70</v>
      </c>
      <c r="H119" s="96">
        <v>70000</v>
      </c>
      <c r="I119" s="175">
        <f t="shared" si="6"/>
        <v>70</v>
      </c>
      <c r="J119" s="176">
        <f t="shared" si="7"/>
        <v>1</v>
      </c>
    </row>
    <row r="120" spans="1:10" ht="24" customHeight="1">
      <c r="A120" s="916"/>
      <c r="B120" s="939"/>
      <c r="C120" s="94" t="s">
        <v>1392</v>
      </c>
      <c r="D120" s="95">
        <v>60000</v>
      </c>
      <c r="E120" s="97">
        <f t="shared" si="4"/>
        <v>60</v>
      </c>
      <c r="F120" s="96">
        <v>60000</v>
      </c>
      <c r="G120" s="97">
        <f t="shared" si="5"/>
        <v>60</v>
      </c>
      <c r="H120" s="96">
        <v>60000</v>
      </c>
      <c r="I120" s="175">
        <f t="shared" si="6"/>
        <v>60</v>
      </c>
      <c r="J120" s="176">
        <f t="shared" si="7"/>
        <v>1</v>
      </c>
    </row>
    <row r="121" spans="1:10" ht="23.25" customHeight="1">
      <c r="A121" s="916"/>
      <c r="B121" s="939"/>
      <c r="C121" s="94" t="s">
        <v>1393</v>
      </c>
      <c r="D121" s="95">
        <v>0</v>
      </c>
      <c r="E121" s="97">
        <f t="shared" si="4"/>
        <v>0</v>
      </c>
      <c r="F121" s="96">
        <v>1415000</v>
      </c>
      <c r="G121" s="97">
        <f t="shared" si="5"/>
        <v>1415</v>
      </c>
      <c r="H121" s="96">
        <v>1415000</v>
      </c>
      <c r="I121" s="175">
        <f t="shared" si="6"/>
        <v>1415</v>
      </c>
      <c r="J121" s="176">
        <f t="shared" si="7"/>
        <v>1</v>
      </c>
    </row>
    <row r="122" spans="1:10" ht="34.5" customHeight="1">
      <c r="A122" s="916"/>
      <c r="B122" s="939"/>
      <c r="C122" s="94" t="s">
        <v>1394</v>
      </c>
      <c r="D122" s="95">
        <v>1500000</v>
      </c>
      <c r="E122" s="97">
        <f t="shared" si="4"/>
        <v>1500</v>
      </c>
      <c r="F122" s="96">
        <v>1715000</v>
      </c>
      <c r="G122" s="97">
        <f t="shared" si="5"/>
        <v>1715</v>
      </c>
      <c r="H122" s="96">
        <v>1715000</v>
      </c>
      <c r="I122" s="175">
        <f t="shared" si="6"/>
        <v>1715</v>
      </c>
      <c r="J122" s="176">
        <f t="shared" si="7"/>
        <v>1</v>
      </c>
    </row>
    <row r="123" spans="1:10" ht="12.9" customHeight="1" thickBot="1">
      <c r="A123" s="917"/>
      <c r="B123" s="940"/>
      <c r="C123" s="214" t="s">
        <v>1395</v>
      </c>
      <c r="D123" s="215">
        <v>7000000</v>
      </c>
      <c r="E123" s="216">
        <f t="shared" si="4"/>
        <v>7000</v>
      </c>
      <c r="F123" s="217">
        <v>6120000</v>
      </c>
      <c r="G123" s="216">
        <f t="shared" si="5"/>
        <v>6120</v>
      </c>
      <c r="H123" s="217">
        <v>6119000</v>
      </c>
      <c r="I123" s="218">
        <f t="shared" si="6"/>
        <v>6119</v>
      </c>
      <c r="J123" s="219">
        <f t="shared" si="7"/>
        <v>0.99983660130718954</v>
      </c>
    </row>
    <row r="124" spans="1:10" ht="21.75" customHeight="1">
      <c r="A124" s="915" t="s">
        <v>1396</v>
      </c>
      <c r="B124" s="939" t="s">
        <v>1301</v>
      </c>
      <c r="C124" s="108" t="s">
        <v>1397</v>
      </c>
      <c r="D124" s="109">
        <v>200000</v>
      </c>
      <c r="E124" s="111">
        <f t="shared" si="4"/>
        <v>200</v>
      </c>
      <c r="F124" s="110">
        <v>200000</v>
      </c>
      <c r="G124" s="111">
        <f t="shared" si="5"/>
        <v>200</v>
      </c>
      <c r="H124" s="110">
        <v>200000</v>
      </c>
      <c r="I124" s="173">
        <f t="shared" si="6"/>
        <v>200</v>
      </c>
      <c r="J124" s="174">
        <f t="shared" si="7"/>
        <v>1</v>
      </c>
    </row>
    <row r="125" spans="1:10" ht="21.75" customHeight="1">
      <c r="A125" s="916"/>
      <c r="B125" s="939"/>
      <c r="C125" s="94" t="s">
        <v>1398</v>
      </c>
      <c r="D125" s="95">
        <v>200000</v>
      </c>
      <c r="E125" s="97">
        <f t="shared" si="4"/>
        <v>200</v>
      </c>
      <c r="F125" s="96">
        <v>200000</v>
      </c>
      <c r="G125" s="97">
        <f t="shared" si="5"/>
        <v>200</v>
      </c>
      <c r="H125" s="96">
        <v>200000</v>
      </c>
      <c r="I125" s="175">
        <f t="shared" si="6"/>
        <v>200</v>
      </c>
      <c r="J125" s="176">
        <f t="shared" si="7"/>
        <v>1</v>
      </c>
    </row>
    <row r="126" spans="1:10" ht="21.75" customHeight="1" thickBot="1">
      <c r="A126" s="916"/>
      <c r="B126" s="940"/>
      <c r="C126" s="100" t="s">
        <v>1379</v>
      </c>
      <c r="D126" s="101">
        <v>7630000</v>
      </c>
      <c r="E126" s="103">
        <f t="shared" si="4"/>
        <v>7630</v>
      </c>
      <c r="F126" s="102">
        <v>7240000</v>
      </c>
      <c r="G126" s="103">
        <f t="shared" si="5"/>
        <v>7240</v>
      </c>
      <c r="H126" s="102">
        <v>7240000</v>
      </c>
      <c r="I126" s="177">
        <f t="shared" si="6"/>
        <v>7240</v>
      </c>
      <c r="J126" s="178">
        <f t="shared" si="7"/>
        <v>1</v>
      </c>
    </row>
    <row r="127" spans="1:10" ht="12.9" customHeight="1" thickBot="1">
      <c r="A127" s="917"/>
      <c r="B127" s="911" t="s">
        <v>1399</v>
      </c>
      <c r="C127" s="904"/>
      <c r="D127" s="179">
        <v>24710000</v>
      </c>
      <c r="E127" s="180">
        <f>SUM(E108:E126)</f>
        <v>27610</v>
      </c>
      <c r="F127" s="181">
        <v>30613280</v>
      </c>
      <c r="G127" s="180">
        <f>SUM(G108:G126)</f>
        <v>33263.279999999999</v>
      </c>
      <c r="H127" s="181">
        <v>30509918</v>
      </c>
      <c r="I127" s="182">
        <f>SUM(I108:I126)</f>
        <v>33134.917999999998</v>
      </c>
      <c r="J127" s="183">
        <f>I127/G127</f>
        <v>0.99614102998862408</v>
      </c>
    </row>
    <row r="128" spans="1:10" ht="12.9" customHeight="1" thickBot="1">
      <c r="A128" s="907" t="s">
        <v>1400</v>
      </c>
      <c r="B128" s="908"/>
      <c r="C128" s="908"/>
      <c r="D128" s="196">
        <v>270230000</v>
      </c>
      <c r="E128" s="197">
        <f t="shared" si="4"/>
        <v>270230</v>
      </c>
      <c r="F128" s="198">
        <v>340920933.94</v>
      </c>
      <c r="G128" s="197">
        <f t="shared" si="5"/>
        <v>340920.93394000002</v>
      </c>
      <c r="H128" s="198">
        <v>319466782.22000003</v>
      </c>
      <c r="I128" s="197">
        <f t="shared" si="6"/>
        <v>319466.78222000005</v>
      </c>
      <c r="J128" s="199">
        <f t="shared" si="7"/>
        <v>0.93707000778140603</v>
      </c>
    </row>
    <row r="129" spans="1:10" s="172" customFormat="1" ht="12" customHeight="1" thickBot="1">
      <c r="A129" s="912" t="s">
        <v>1401</v>
      </c>
      <c r="B129" s="913"/>
      <c r="C129" s="913"/>
      <c r="D129" s="913"/>
      <c r="E129" s="913"/>
      <c r="F129" s="913"/>
      <c r="G129" s="913"/>
      <c r="H129" s="913"/>
      <c r="I129" s="913"/>
      <c r="J129" s="914"/>
    </row>
    <row r="130" spans="1:10" ht="12.9" customHeight="1">
      <c r="A130" s="922" t="s">
        <v>1401</v>
      </c>
      <c r="B130" s="921" t="s">
        <v>1295</v>
      </c>
      <c r="C130" s="108" t="s">
        <v>1402</v>
      </c>
      <c r="D130" s="109">
        <v>3500000</v>
      </c>
      <c r="E130" s="111">
        <f t="shared" si="4"/>
        <v>3500</v>
      </c>
      <c r="F130" s="110">
        <v>3500000</v>
      </c>
      <c r="G130" s="111">
        <f t="shared" si="5"/>
        <v>3500</v>
      </c>
      <c r="H130" s="110">
        <v>0</v>
      </c>
      <c r="I130" s="173">
        <f t="shared" si="6"/>
        <v>0</v>
      </c>
      <c r="J130" s="174">
        <f t="shared" si="7"/>
        <v>0</v>
      </c>
    </row>
    <row r="131" spans="1:10" ht="12.9" customHeight="1">
      <c r="A131" s="923"/>
      <c r="B131" s="905"/>
      <c r="C131" s="94" t="s">
        <v>1403</v>
      </c>
      <c r="D131" s="95">
        <v>0</v>
      </c>
      <c r="E131" s="97">
        <f t="shared" si="4"/>
        <v>0</v>
      </c>
      <c r="F131" s="96">
        <v>345000</v>
      </c>
      <c r="G131" s="97">
        <f t="shared" si="5"/>
        <v>345</v>
      </c>
      <c r="H131" s="96">
        <v>345000</v>
      </c>
      <c r="I131" s="175">
        <f t="shared" si="6"/>
        <v>345</v>
      </c>
      <c r="J131" s="176">
        <f t="shared" si="7"/>
        <v>1</v>
      </c>
    </row>
    <row r="132" spans="1:10" ht="12.9" customHeight="1">
      <c r="A132" s="923"/>
      <c r="B132" s="905"/>
      <c r="C132" s="94" t="s">
        <v>1404</v>
      </c>
      <c r="D132" s="95">
        <v>500000</v>
      </c>
      <c r="E132" s="97">
        <f t="shared" si="4"/>
        <v>500</v>
      </c>
      <c r="F132" s="96">
        <v>1200000</v>
      </c>
      <c r="G132" s="97">
        <f t="shared" si="5"/>
        <v>1200</v>
      </c>
      <c r="H132" s="96">
        <v>855979</v>
      </c>
      <c r="I132" s="175">
        <f t="shared" si="6"/>
        <v>855.97900000000004</v>
      </c>
      <c r="J132" s="176">
        <f t="shared" si="7"/>
        <v>0.71331583333333337</v>
      </c>
    </row>
    <row r="133" spans="1:10" ht="12.9" customHeight="1">
      <c r="A133" s="923"/>
      <c r="B133" s="905"/>
      <c r="C133" s="94" t="s">
        <v>1405</v>
      </c>
      <c r="D133" s="95">
        <v>13000000</v>
      </c>
      <c r="E133" s="97">
        <f t="shared" si="4"/>
        <v>13000</v>
      </c>
      <c r="F133" s="96">
        <v>13000000</v>
      </c>
      <c r="G133" s="97">
        <f t="shared" si="5"/>
        <v>13000</v>
      </c>
      <c r="H133" s="96">
        <v>11827427</v>
      </c>
      <c r="I133" s="175">
        <f t="shared" si="6"/>
        <v>11827.427</v>
      </c>
      <c r="J133" s="176">
        <f t="shared" si="7"/>
        <v>0.90980207692307691</v>
      </c>
    </row>
    <row r="134" spans="1:10" ht="12.9" customHeight="1" thickBot="1">
      <c r="A134" s="923"/>
      <c r="B134" s="906"/>
      <c r="C134" s="100" t="s">
        <v>1406</v>
      </c>
      <c r="D134" s="101">
        <v>3250000</v>
      </c>
      <c r="E134" s="103">
        <f t="shared" si="4"/>
        <v>3250</v>
      </c>
      <c r="F134" s="102">
        <v>3250000</v>
      </c>
      <c r="G134" s="103">
        <f t="shared" si="5"/>
        <v>3250</v>
      </c>
      <c r="H134" s="102">
        <v>1362740</v>
      </c>
      <c r="I134" s="177">
        <f t="shared" si="6"/>
        <v>1362.74</v>
      </c>
      <c r="J134" s="178">
        <f t="shared" si="7"/>
        <v>0.41930461538461539</v>
      </c>
    </row>
    <row r="135" spans="1:10" ht="12.9" customHeight="1" thickBot="1">
      <c r="A135" s="923"/>
      <c r="B135" s="911" t="s">
        <v>1300</v>
      </c>
      <c r="C135" s="904"/>
      <c r="D135" s="179">
        <v>20250000</v>
      </c>
      <c r="E135" s="180">
        <f t="shared" si="4"/>
        <v>20250</v>
      </c>
      <c r="F135" s="181">
        <v>21295000</v>
      </c>
      <c r="G135" s="180">
        <f t="shared" si="5"/>
        <v>21295</v>
      </c>
      <c r="H135" s="181">
        <v>14391146</v>
      </c>
      <c r="I135" s="182">
        <f t="shared" si="6"/>
        <v>14391.146000000001</v>
      </c>
      <c r="J135" s="183">
        <f t="shared" si="7"/>
        <v>0.67579929560929797</v>
      </c>
    </row>
    <row r="136" spans="1:10" ht="22.5" customHeight="1">
      <c r="A136" s="923"/>
      <c r="B136" s="921" t="s">
        <v>1321</v>
      </c>
      <c r="C136" s="108" t="s">
        <v>1326</v>
      </c>
      <c r="D136" s="109">
        <v>6000000</v>
      </c>
      <c r="E136" s="111">
        <f t="shared" si="4"/>
        <v>6000</v>
      </c>
      <c r="F136" s="110">
        <v>6000000</v>
      </c>
      <c r="G136" s="111">
        <f t="shared" si="5"/>
        <v>6000</v>
      </c>
      <c r="H136" s="110">
        <v>6000000</v>
      </c>
      <c r="I136" s="173">
        <f t="shared" si="6"/>
        <v>6000</v>
      </c>
      <c r="J136" s="174">
        <f t="shared" si="7"/>
        <v>1</v>
      </c>
    </row>
    <row r="137" spans="1:10" ht="22.5" customHeight="1" thickBot="1">
      <c r="A137" s="923"/>
      <c r="B137" s="906"/>
      <c r="C137" s="100" t="s">
        <v>1328</v>
      </c>
      <c r="D137" s="101">
        <v>0</v>
      </c>
      <c r="E137" s="103">
        <f t="shared" si="4"/>
        <v>0</v>
      </c>
      <c r="F137" s="102">
        <v>903550</v>
      </c>
      <c r="G137" s="103">
        <f t="shared" si="5"/>
        <v>903.55</v>
      </c>
      <c r="H137" s="102">
        <v>903550</v>
      </c>
      <c r="I137" s="177">
        <f t="shared" si="6"/>
        <v>903.55</v>
      </c>
      <c r="J137" s="178">
        <f t="shared" si="7"/>
        <v>1</v>
      </c>
    </row>
    <row r="138" spans="1:10" ht="12.9" customHeight="1" thickBot="1">
      <c r="A138" s="923"/>
      <c r="B138" s="911" t="s">
        <v>1329</v>
      </c>
      <c r="C138" s="904"/>
      <c r="D138" s="179">
        <v>6000000</v>
      </c>
      <c r="E138" s="180">
        <f t="shared" si="4"/>
        <v>6000</v>
      </c>
      <c r="F138" s="181">
        <v>6903550</v>
      </c>
      <c r="G138" s="180">
        <f t="shared" si="5"/>
        <v>6903.55</v>
      </c>
      <c r="H138" s="181">
        <v>6903550</v>
      </c>
      <c r="I138" s="182">
        <f t="shared" si="6"/>
        <v>6903.55</v>
      </c>
      <c r="J138" s="183">
        <f t="shared" si="7"/>
        <v>1</v>
      </c>
    </row>
    <row r="139" spans="1:10" ht="12.9" customHeight="1">
      <c r="A139" s="923"/>
      <c r="B139" s="921" t="s">
        <v>1330</v>
      </c>
      <c r="C139" s="108" t="s">
        <v>1407</v>
      </c>
      <c r="D139" s="109">
        <v>636822000</v>
      </c>
      <c r="E139" s="111">
        <f t="shared" si="4"/>
        <v>636822</v>
      </c>
      <c r="F139" s="110">
        <v>636822000</v>
      </c>
      <c r="G139" s="111">
        <f t="shared" si="5"/>
        <v>636822</v>
      </c>
      <c r="H139" s="110">
        <v>498980883.60000002</v>
      </c>
      <c r="I139" s="173">
        <f t="shared" si="6"/>
        <v>498980.8836</v>
      </c>
      <c r="J139" s="174">
        <f t="shared" si="7"/>
        <v>0.7835484383391278</v>
      </c>
    </row>
    <row r="140" spans="1:10" ht="12.9" customHeight="1">
      <c r="A140" s="923"/>
      <c r="B140" s="905"/>
      <c r="C140" s="94" t="s">
        <v>1408</v>
      </c>
      <c r="D140" s="95">
        <v>10000000</v>
      </c>
      <c r="E140" s="97">
        <f t="shared" si="4"/>
        <v>10000</v>
      </c>
      <c r="F140" s="96">
        <v>5286164.5999999996</v>
      </c>
      <c r="G140" s="97">
        <f t="shared" si="5"/>
        <v>5286.1646000000001</v>
      </c>
      <c r="H140" s="96">
        <v>0</v>
      </c>
      <c r="I140" s="175">
        <f t="shared" si="6"/>
        <v>0</v>
      </c>
      <c r="J140" s="176">
        <f t="shared" si="7"/>
        <v>0</v>
      </c>
    </row>
    <row r="141" spans="1:10" ht="12.9" customHeight="1">
      <c r="A141" s="923"/>
      <c r="B141" s="905"/>
      <c r="C141" s="94" t="s">
        <v>1409</v>
      </c>
      <c r="D141" s="95">
        <v>0</v>
      </c>
      <c r="E141" s="97">
        <f t="shared" ref="E141:E204" si="8">D141/1000</f>
        <v>0</v>
      </c>
      <c r="F141" s="96">
        <v>363816</v>
      </c>
      <c r="G141" s="97">
        <f t="shared" ref="G141:G204" si="9">F141/1000</f>
        <v>363.81599999999997</v>
      </c>
      <c r="H141" s="96">
        <v>363816</v>
      </c>
      <c r="I141" s="175">
        <f t="shared" ref="I141:I204" si="10">H141/1000</f>
        <v>363.81599999999997</v>
      </c>
      <c r="J141" s="176">
        <f t="shared" ref="J141:J204" si="11">H141/F141</f>
        <v>1</v>
      </c>
    </row>
    <row r="142" spans="1:10" ht="12.9" customHeight="1">
      <c r="A142" s="923"/>
      <c r="B142" s="905"/>
      <c r="C142" s="94" t="s">
        <v>1410</v>
      </c>
      <c r="D142" s="95">
        <v>0</v>
      </c>
      <c r="E142" s="97">
        <f t="shared" si="8"/>
        <v>0</v>
      </c>
      <c r="F142" s="96">
        <v>15000000</v>
      </c>
      <c r="G142" s="97">
        <f t="shared" si="9"/>
        <v>15000</v>
      </c>
      <c r="H142" s="96">
        <v>15000000</v>
      </c>
      <c r="I142" s="175">
        <f t="shared" si="10"/>
        <v>15000</v>
      </c>
      <c r="J142" s="176">
        <f t="shared" si="11"/>
        <v>1</v>
      </c>
    </row>
    <row r="143" spans="1:10" ht="12.9" customHeight="1">
      <c r="A143" s="923"/>
      <c r="B143" s="905"/>
      <c r="C143" s="94" t="s">
        <v>1411</v>
      </c>
      <c r="D143" s="95">
        <v>35000000</v>
      </c>
      <c r="E143" s="97">
        <f t="shared" si="8"/>
        <v>35000</v>
      </c>
      <c r="F143" s="96">
        <v>11075266</v>
      </c>
      <c r="G143" s="97">
        <f t="shared" si="9"/>
        <v>11075.266</v>
      </c>
      <c r="H143" s="96">
        <v>8335369</v>
      </c>
      <c r="I143" s="175">
        <f t="shared" si="10"/>
        <v>8335.3690000000006</v>
      </c>
      <c r="J143" s="176">
        <f t="shared" si="11"/>
        <v>0.75261117881954254</v>
      </c>
    </row>
    <row r="144" spans="1:10" ht="12.9" customHeight="1">
      <c r="A144" s="923"/>
      <c r="B144" s="905"/>
      <c r="C144" s="94" t="s">
        <v>1412</v>
      </c>
      <c r="D144" s="95">
        <v>10000000</v>
      </c>
      <c r="E144" s="97">
        <f t="shared" si="8"/>
        <v>10000</v>
      </c>
      <c r="F144" s="96">
        <v>10000000</v>
      </c>
      <c r="G144" s="97">
        <f t="shared" si="9"/>
        <v>10000</v>
      </c>
      <c r="H144" s="96">
        <v>1266353.2</v>
      </c>
      <c r="I144" s="175">
        <f t="shared" si="10"/>
        <v>1266.3532</v>
      </c>
      <c r="J144" s="176">
        <f t="shared" si="11"/>
        <v>0.12663532</v>
      </c>
    </row>
    <row r="145" spans="1:10" ht="12.9" customHeight="1">
      <c r="A145" s="923"/>
      <c r="B145" s="905"/>
      <c r="C145" s="94" t="s">
        <v>1413</v>
      </c>
      <c r="D145" s="95">
        <v>12600000</v>
      </c>
      <c r="E145" s="97">
        <f t="shared" si="8"/>
        <v>12600</v>
      </c>
      <c r="F145" s="96">
        <v>24124354</v>
      </c>
      <c r="G145" s="97">
        <f t="shared" si="9"/>
        <v>24124.353999999999</v>
      </c>
      <c r="H145" s="96">
        <v>13589844.9</v>
      </c>
      <c r="I145" s="175">
        <f t="shared" si="10"/>
        <v>13589.8449</v>
      </c>
      <c r="J145" s="176">
        <f t="shared" si="11"/>
        <v>0.56332471742041257</v>
      </c>
    </row>
    <row r="146" spans="1:10" ht="20.25" customHeight="1" thickBot="1">
      <c r="A146" s="923"/>
      <c r="B146" s="906"/>
      <c r="C146" s="100" t="s">
        <v>1414</v>
      </c>
      <c r="D146" s="101">
        <v>0</v>
      </c>
      <c r="E146" s="103">
        <f t="shared" si="8"/>
        <v>0</v>
      </c>
      <c r="F146" s="102">
        <v>3392764</v>
      </c>
      <c r="G146" s="103">
        <f t="shared" si="9"/>
        <v>3392.7640000000001</v>
      </c>
      <c r="H146" s="102">
        <v>3392764</v>
      </c>
      <c r="I146" s="177">
        <f t="shared" si="10"/>
        <v>3392.7640000000001</v>
      </c>
      <c r="J146" s="178">
        <f t="shared" si="11"/>
        <v>1</v>
      </c>
    </row>
    <row r="147" spans="1:10" ht="12.9" customHeight="1" thickBot="1">
      <c r="A147" s="924"/>
      <c r="B147" s="928" t="s">
        <v>1332</v>
      </c>
      <c r="C147" s="929"/>
      <c r="D147" s="191">
        <v>704422000</v>
      </c>
      <c r="E147" s="192">
        <f t="shared" si="8"/>
        <v>704422</v>
      </c>
      <c r="F147" s="193">
        <v>706064364.60000002</v>
      </c>
      <c r="G147" s="192">
        <f t="shared" si="9"/>
        <v>706064.36459999997</v>
      </c>
      <c r="H147" s="193">
        <v>540929030.70000005</v>
      </c>
      <c r="I147" s="194">
        <f t="shared" si="10"/>
        <v>540929.0307</v>
      </c>
      <c r="J147" s="195">
        <f t="shared" si="11"/>
        <v>0.76611858326322335</v>
      </c>
    </row>
    <row r="148" spans="1:10" ht="12.9" customHeight="1" thickBot="1">
      <c r="A148" s="907" t="s">
        <v>1415</v>
      </c>
      <c r="B148" s="908"/>
      <c r="C148" s="908"/>
      <c r="D148" s="196">
        <v>730672000</v>
      </c>
      <c r="E148" s="197">
        <f t="shared" si="8"/>
        <v>730672</v>
      </c>
      <c r="F148" s="198">
        <v>734262914.60000002</v>
      </c>
      <c r="G148" s="197">
        <f t="shared" si="9"/>
        <v>734262.91460000002</v>
      </c>
      <c r="H148" s="198">
        <v>562223726.70000005</v>
      </c>
      <c r="I148" s="197">
        <f t="shared" si="10"/>
        <v>562223.7267</v>
      </c>
      <c r="J148" s="199">
        <f t="shared" si="11"/>
        <v>0.76569811101828456</v>
      </c>
    </row>
    <row r="149" spans="1:10" s="172" customFormat="1" ht="12" customHeight="1" thickBot="1">
      <c r="A149" s="912" t="s">
        <v>1416</v>
      </c>
      <c r="B149" s="913"/>
      <c r="C149" s="913"/>
      <c r="D149" s="913"/>
      <c r="E149" s="913"/>
      <c r="F149" s="913"/>
      <c r="G149" s="913"/>
      <c r="H149" s="913"/>
      <c r="I149" s="913"/>
      <c r="J149" s="914"/>
    </row>
    <row r="150" spans="1:10" ht="12.9" customHeight="1">
      <c r="A150" s="930" t="s">
        <v>1416</v>
      </c>
      <c r="B150" s="933" t="s">
        <v>1295</v>
      </c>
      <c r="C150" s="108" t="s">
        <v>1417</v>
      </c>
      <c r="D150" s="109">
        <v>100000</v>
      </c>
      <c r="E150" s="111">
        <f t="shared" si="8"/>
        <v>100</v>
      </c>
      <c r="F150" s="110">
        <v>100000</v>
      </c>
      <c r="G150" s="111">
        <f t="shared" si="9"/>
        <v>100</v>
      </c>
      <c r="H150" s="110">
        <v>74629.490000000005</v>
      </c>
      <c r="I150" s="173">
        <f t="shared" si="10"/>
        <v>74.629490000000004</v>
      </c>
      <c r="J150" s="174">
        <f t="shared" si="11"/>
        <v>0.74629490000000009</v>
      </c>
    </row>
    <row r="151" spans="1:10" ht="12.9" customHeight="1">
      <c r="A151" s="931"/>
      <c r="B151" s="934"/>
      <c r="C151" s="94" t="s">
        <v>1404</v>
      </c>
      <c r="D151" s="95">
        <v>0</v>
      </c>
      <c r="E151" s="97">
        <f t="shared" si="8"/>
        <v>0</v>
      </c>
      <c r="F151" s="96">
        <v>9445401</v>
      </c>
      <c r="G151" s="97">
        <f t="shared" si="9"/>
        <v>9445.4009999999998</v>
      </c>
      <c r="H151" s="96">
        <v>-13544340</v>
      </c>
      <c r="I151" s="175">
        <f t="shared" si="10"/>
        <v>-13544.34</v>
      </c>
      <c r="J151" s="189" t="s">
        <v>1147</v>
      </c>
    </row>
    <row r="152" spans="1:10" ht="12.9" customHeight="1" thickBot="1">
      <c r="A152" s="931"/>
      <c r="B152" s="934"/>
      <c r="C152" s="100" t="s">
        <v>1418</v>
      </c>
      <c r="D152" s="101">
        <v>0</v>
      </c>
      <c r="E152" s="103">
        <f t="shared" si="8"/>
        <v>0</v>
      </c>
      <c r="F152" s="102">
        <v>0</v>
      </c>
      <c r="G152" s="103">
        <f t="shared" si="9"/>
        <v>0</v>
      </c>
      <c r="H152" s="102">
        <v>108113.28</v>
      </c>
      <c r="I152" s="177">
        <f t="shared" si="10"/>
        <v>108.11328</v>
      </c>
      <c r="J152" s="190" t="s">
        <v>1147</v>
      </c>
    </row>
    <row r="153" spans="1:10" ht="12.9" customHeight="1" thickBot="1">
      <c r="A153" s="931"/>
      <c r="B153" s="911" t="s">
        <v>1300</v>
      </c>
      <c r="C153" s="904"/>
      <c r="D153" s="179">
        <v>100000</v>
      </c>
      <c r="E153" s="180">
        <f t="shared" si="8"/>
        <v>100</v>
      </c>
      <c r="F153" s="181">
        <v>9545401</v>
      </c>
      <c r="G153" s="180">
        <f t="shared" si="9"/>
        <v>9545.4009999999998</v>
      </c>
      <c r="H153" s="181">
        <v>-13361597.23</v>
      </c>
      <c r="I153" s="182">
        <f t="shared" si="10"/>
        <v>-13361.597230000001</v>
      </c>
      <c r="J153" s="222" t="s">
        <v>1147</v>
      </c>
    </row>
    <row r="154" spans="1:10" ht="46.5" customHeight="1" thickBot="1">
      <c r="A154" s="931"/>
      <c r="B154" s="188" t="s">
        <v>1419</v>
      </c>
      <c r="C154" s="108" t="s">
        <v>1419</v>
      </c>
      <c r="D154" s="109">
        <v>0</v>
      </c>
      <c r="E154" s="111">
        <f t="shared" si="8"/>
        <v>0</v>
      </c>
      <c r="F154" s="110">
        <v>42455974.75</v>
      </c>
      <c r="G154" s="111">
        <f t="shared" si="9"/>
        <v>42455.974750000001</v>
      </c>
      <c r="H154" s="110">
        <v>42455974.75</v>
      </c>
      <c r="I154" s="173">
        <f t="shared" si="10"/>
        <v>42455.974750000001</v>
      </c>
      <c r="J154" s="174">
        <f t="shared" si="11"/>
        <v>1</v>
      </c>
    </row>
    <row r="155" spans="1:10" ht="12.9" customHeight="1" thickBot="1">
      <c r="A155" s="931"/>
      <c r="B155" s="911" t="s">
        <v>1420</v>
      </c>
      <c r="C155" s="904"/>
      <c r="D155" s="179">
        <v>100000</v>
      </c>
      <c r="E155" s="180">
        <v>0</v>
      </c>
      <c r="F155" s="181">
        <v>9545401</v>
      </c>
      <c r="G155" s="180">
        <v>42455.97</v>
      </c>
      <c r="H155" s="181">
        <v>-13361597.23</v>
      </c>
      <c r="I155" s="182">
        <v>42455.97</v>
      </c>
      <c r="J155" s="223">
        <f>I155/G155</f>
        <v>1</v>
      </c>
    </row>
    <row r="156" spans="1:10" ht="40.5" customHeight="1" thickBot="1">
      <c r="A156" s="931"/>
      <c r="B156" s="224" t="s">
        <v>1367</v>
      </c>
      <c r="C156" s="94" t="s">
        <v>1421</v>
      </c>
      <c r="D156" s="95">
        <v>564000000</v>
      </c>
      <c r="E156" s="97">
        <f t="shared" si="8"/>
        <v>564000</v>
      </c>
      <c r="F156" s="96">
        <v>103169173.60000001</v>
      </c>
      <c r="G156" s="97">
        <f t="shared" si="9"/>
        <v>103169.17360000001</v>
      </c>
      <c r="H156" s="96">
        <v>0</v>
      </c>
      <c r="I156" s="175">
        <f t="shared" si="10"/>
        <v>0</v>
      </c>
      <c r="J156" s="176">
        <f t="shared" si="11"/>
        <v>0</v>
      </c>
    </row>
    <row r="157" spans="1:10" ht="12.9" customHeight="1" thickBot="1">
      <c r="A157" s="931"/>
      <c r="B157" s="911" t="s">
        <v>1368</v>
      </c>
      <c r="C157" s="904"/>
      <c r="D157" s="179">
        <v>100000</v>
      </c>
      <c r="E157" s="180">
        <v>564000</v>
      </c>
      <c r="F157" s="181">
        <v>9545401</v>
      </c>
      <c r="G157" s="180">
        <v>103169.17</v>
      </c>
      <c r="H157" s="181">
        <v>-13361597.23</v>
      </c>
      <c r="I157" s="182">
        <v>0</v>
      </c>
      <c r="J157" s="223">
        <f>I157/G157</f>
        <v>0</v>
      </c>
    </row>
    <row r="158" spans="1:10" ht="22.5" customHeight="1">
      <c r="A158" s="931"/>
      <c r="B158" s="935" t="s">
        <v>1422</v>
      </c>
      <c r="C158" s="94" t="s">
        <v>1423</v>
      </c>
      <c r="D158" s="95">
        <v>0</v>
      </c>
      <c r="E158" s="97">
        <f t="shared" si="8"/>
        <v>0</v>
      </c>
      <c r="F158" s="96">
        <v>0</v>
      </c>
      <c r="G158" s="97">
        <f t="shared" si="9"/>
        <v>0</v>
      </c>
      <c r="H158" s="96">
        <v>101699</v>
      </c>
      <c r="I158" s="175">
        <f t="shared" si="10"/>
        <v>101.699</v>
      </c>
      <c r="J158" s="189" t="s">
        <v>1147</v>
      </c>
    </row>
    <row r="159" spans="1:10" ht="16.5" customHeight="1" thickBot="1">
      <c r="A159" s="931"/>
      <c r="B159" s="936"/>
      <c r="C159" s="100" t="s">
        <v>1424</v>
      </c>
      <c r="D159" s="101">
        <v>82476000</v>
      </c>
      <c r="E159" s="103">
        <f t="shared" si="8"/>
        <v>82476</v>
      </c>
      <c r="F159" s="102">
        <v>50145646.149999999</v>
      </c>
      <c r="G159" s="103">
        <f t="shared" si="9"/>
        <v>50145.64615</v>
      </c>
      <c r="H159" s="102">
        <v>0</v>
      </c>
      <c r="I159" s="177">
        <f t="shared" si="10"/>
        <v>0</v>
      </c>
      <c r="J159" s="178">
        <f t="shared" si="11"/>
        <v>0</v>
      </c>
    </row>
    <row r="160" spans="1:10" ht="12.9" customHeight="1" thickBot="1">
      <c r="A160" s="931"/>
      <c r="B160" s="903" t="s">
        <v>1425</v>
      </c>
      <c r="C160" s="904"/>
      <c r="D160" s="179">
        <v>82476000</v>
      </c>
      <c r="E160" s="180">
        <f t="shared" si="8"/>
        <v>82476</v>
      </c>
      <c r="F160" s="181">
        <v>50145646.149999999</v>
      </c>
      <c r="G160" s="180">
        <f t="shared" si="9"/>
        <v>50145.64615</v>
      </c>
      <c r="H160" s="181">
        <v>101699</v>
      </c>
      <c r="I160" s="182">
        <f t="shared" si="10"/>
        <v>101.699</v>
      </c>
      <c r="J160" s="183">
        <f t="shared" si="11"/>
        <v>2.0280723813148032E-3</v>
      </c>
    </row>
    <row r="161" spans="1:10" ht="12.9" customHeight="1">
      <c r="A161" s="931"/>
      <c r="B161" s="937" t="s">
        <v>1301</v>
      </c>
      <c r="C161" s="108" t="s">
        <v>1426</v>
      </c>
      <c r="D161" s="109">
        <v>700000</v>
      </c>
      <c r="E161" s="111">
        <f t="shared" si="8"/>
        <v>700</v>
      </c>
      <c r="F161" s="110">
        <v>700000</v>
      </c>
      <c r="G161" s="111">
        <f t="shared" si="9"/>
        <v>700</v>
      </c>
      <c r="H161" s="110">
        <v>700000</v>
      </c>
      <c r="I161" s="173">
        <f t="shared" si="10"/>
        <v>700</v>
      </c>
      <c r="J161" s="174">
        <f t="shared" si="11"/>
        <v>1</v>
      </c>
    </row>
    <row r="162" spans="1:10" ht="22.5" customHeight="1">
      <c r="A162" s="931"/>
      <c r="B162" s="935"/>
      <c r="C162" s="94" t="s">
        <v>1427</v>
      </c>
      <c r="D162" s="95">
        <v>60000000</v>
      </c>
      <c r="E162" s="97">
        <f t="shared" si="8"/>
        <v>60000</v>
      </c>
      <c r="F162" s="96">
        <v>60000000</v>
      </c>
      <c r="G162" s="97">
        <f t="shared" si="9"/>
        <v>60000</v>
      </c>
      <c r="H162" s="96">
        <v>60000000</v>
      </c>
      <c r="I162" s="175">
        <f t="shared" si="10"/>
        <v>60000</v>
      </c>
      <c r="J162" s="176">
        <f t="shared" si="11"/>
        <v>1</v>
      </c>
    </row>
    <row r="163" spans="1:10" ht="12.9" customHeight="1">
      <c r="A163" s="931"/>
      <c r="B163" s="935"/>
      <c r="C163" s="94" t="s">
        <v>1428</v>
      </c>
      <c r="D163" s="95">
        <v>27000000</v>
      </c>
      <c r="E163" s="97">
        <f t="shared" si="8"/>
        <v>27000</v>
      </c>
      <c r="F163" s="96">
        <v>0</v>
      </c>
      <c r="G163" s="97">
        <f t="shared" si="9"/>
        <v>0</v>
      </c>
      <c r="H163" s="96">
        <v>0</v>
      </c>
      <c r="I163" s="175">
        <f t="shared" si="10"/>
        <v>0</v>
      </c>
      <c r="J163" s="189" t="s">
        <v>1147</v>
      </c>
    </row>
    <row r="164" spans="1:10" ht="12.9" customHeight="1">
      <c r="A164" s="931"/>
      <c r="B164" s="935"/>
      <c r="C164" s="94" t="s">
        <v>1429</v>
      </c>
      <c r="D164" s="95">
        <v>3000</v>
      </c>
      <c r="E164" s="97">
        <f t="shared" si="8"/>
        <v>3</v>
      </c>
      <c r="F164" s="96">
        <v>3000</v>
      </c>
      <c r="G164" s="97">
        <f t="shared" si="9"/>
        <v>3</v>
      </c>
      <c r="H164" s="96">
        <v>3000</v>
      </c>
      <c r="I164" s="175">
        <f t="shared" si="10"/>
        <v>3</v>
      </c>
      <c r="J164" s="176">
        <f t="shared" si="11"/>
        <v>1</v>
      </c>
    </row>
    <row r="165" spans="1:10" ht="12.9" customHeight="1" thickBot="1">
      <c r="A165" s="931"/>
      <c r="B165" s="936"/>
      <c r="C165" s="100" t="s">
        <v>1430</v>
      </c>
      <c r="D165" s="101">
        <v>0</v>
      </c>
      <c r="E165" s="103">
        <f t="shared" si="8"/>
        <v>0</v>
      </c>
      <c r="F165" s="102">
        <v>2200000</v>
      </c>
      <c r="G165" s="103">
        <f t="shared" si="9"/>
        <v>2200</v>
      </c>
      <c r="H165" s="102">
        <v>2200000</v>
      </c>
      <c r="I165" s="177">
        <f t="shared" si="10"/>
        <v>2200</v>
      </c>
      <c r="J165" s="178">
        <f t="shared" si="11"/>
        <v>1</v>
      </c>
    </row>
    <row r="166" spans="1:10" ht="12.9" customHeight="1" thickBot="1">
      <c r="A166" s="932"/>
      <c r="B166" s="903" t="s">
        <v>1304</v>
      </c>
      <c r="C166" s="904"/>
      <c r="D166" s="179">
        <v>87703000</v>
      </c>
      <c r="E166" s="180">
        <f t="shared" si="8"/>
        <v>87703</v>
      </c>
      <c r="F166" s="181">
        <v>62903000</v>
      </c>
      <c r="G166" s="180">
        <f t="shared" si="9"/>
        <v>62903</v>
      </c>
      <c r="H166" s="181">
        <v>62903000</v>
      </c>
      <c r="I166" s="182">
        <f t="shared" si="10"/>
        <v>62903</v>
      </c>
      <c r="J166" s="183">
        <f t="shared" si="11"/>
        <v>1</v>
      </c>
    </row>
    <row r="167" spans="1:10" ht="12.9" customHeight="1" thickBot="1">
      <c r="A167" s="907" t="s">
        <v>1431</v>
      </c>
      <c r="B167" s="908"/>
      <c r="C167" s="908"/>
      <c r="D167" s="196">
        <v>734279000</v>
      </c>
      <c r="E167" s="197">
        <f t="shared" si="8"/>
        <v>734279</v>
      </c>
      <c r="F167" s="198">
        <v>268219195.5</v>
      </c>
      <c r="G167" s="197">
        <f t="shared" si="9"/>
        <v>268219.19549999997</v>
      </c>
      <c r="H167" s="198">
        <v>92099076.519999996</v>
      </c>
      <c r="I167" s="197">
        <f t="shared" si="10"/>
        <v>92099.076520000002</v>
      </c>
      <c r="J167" s="199">
        <f t="shared" si="11"/>
        <v>0.34337242846588134</v>
      </c>
    </row>
    <row r="168" spans="1:10" ht="12.9" customHeight="1">
      <c r="A168" s="225"/>
      <c r="B168" s="225"/>
      <c r="C168" s="225"/>
      <c r="D168" s="226"/>
      <c r="E168" s="227"/>
      <c r="F168" s="228"/>
      <c r="G168" s="227"/>
      <c r="H168" s="228"/>
      <c r="I168" s="227"/>
      <c r="J168" s="229"/>
    </row>
    <row r="169" spans="1:10" ht="12.9" customHeight="1" thickBot="1">
      <c r="A169" s="200"/>
      <c r="B169" s="200"/>
      <c r="C169" s="200"/>
      <c r="D169" s="201"/>
      <c r="E169" s="202"/>
      <c r="F169" s="203"/>
      <c r="G169" s="202"/>
      <c r="H169" s="203"/>
      <c r="I169" s="202"/>
      <c r="J169" s="204"/>
    </row>
    <row r="170" spans="1:10" s="172" customFormat="1" ht="12" customHeight="1" thickBot="1">
      <c r="A170" s="912" t="s">
        <v>1432</v>
      </c>
      <c r="B170" s="913"/>
      <c r="C170" s="913"/>
      <c r="D170" s="913"/>
      <c r="E170" s="913"/>
      <c r="F170" s="913"/>
      <c r="G170" s="913"/>
      <c r="H170" s="913"/>
      <c r="I170" s="913"/>
      <c r="J170" s="914"/>
    </row>
    <row r="171" spans="1:10" ht="22.5" customHeight="1">
      <c r="A171" s="922" t="s">
        <v>1432</v>
      </c>
      <c r="B171" s="921" t="s">
        <v>1295</v>
      </c>
      <c r="C171" s="108" t="s">
        <v>1433</v>
      </c>
      <c r="D171" s="109">
        <v>100000</v>
      </c>
      <c r="E171" s="111">
        <f t="shared" si="8"/>
        <v>100</v>
      </c>
      <c r="F171" s="110">
        <v>100000</v>
      </c>
      <c r="G171" s="111">
        <f t="shared" si="9"/>
        <v>100</v>
      </c>
      <c r="H171" s="110">
        <v>46469.34</v>
      </c>
      <c r="I171" s="173">
        <f t="shared" si="10"/>
        <v>46.469339999999995</v>
      </c>
      <c r="J171" s="174">
        <f t="shared" si="11"/>
        <v>0.46469339999999998</v>
      </c>
    </row>
    <row r="172" spans="1:10" ht="45.75" customHeight="1" thickBot="1">
      <c r="A172" s="923"/>
      <c r="B172" s="906"/>
      <c r="C172" s="100" t="s">
        <v>1434</v>
      </c>
      <c r="D172" s="101">
        <v>2000000</v>
      </c>
      <c r="E172" s="103">
        <f t="shared" si="8"/>
        <v>2000</v>
      </c>
      <c r="F172" s="102">
        <v>1660000</v>
      </c>
      <c r="G172" s="103">
        <f t="shared" si="9"/>
        <v>1660</v>
      </c>
      <c r="H172" s="102">
        <v>1341345</v>
      </c>
      <c r="I172" s="177">
        <f t="shared" si="10"/>
        <v>1341.345</v>
      </c>
      <c r="J172" s="178">
        <f t="shared" si="11"/>
        <v>0.80803915662650605</v>
      </c>
    </row>
    <row r="173" spans="1:10" ht="12.9" customHeight="1" thickBot="1">
      <c r="A173" s="923"/>
      <c r="B173" s="911" t="s">
        <v>1300</v>
      </c>
      <c r="C173" s="904"/>
      <c r="D173" s="179">
        <v>2100000</v>
      </c>
      <c r="E173" s="180">
        <f t="shared" si="8"/>
        <v>2100</v>
      </c>
      <c r="F173" s="181">
        <v>1760000</v>
      </c>
      <c r="G173" s="180">
        <f t="shared" si="9"/>
        <v>1760</v>
      </c>
      <c r="H173" s="181">
        <v>1387814.34</v>
      </c>
      <c r="I173" s="182">
        <f t="shared" si="10"/>
        <v>1387.8143400000001</v>
      </c>
      <c r="J173" s="183">
        <f t="shared" si="11"/>
        <v>0.78853087500000008</v>
      </c>
    </row>
    <row r="174" spans="1:10" ht="36" customHeight="1" thickBot="1">
      <c r="A174" s="923"/>
      <c r="B174" s="211" t="s">
        <v>1435</v>
      </c>
      <c r="C174" s="108" t="s">
        <v>1436</v>
      </c>
      <c r="D174" s="109">
        <v>2600000</v>
      </c>
      <c r="E174" s="111">
        <f t="shared" si="8"/>
        <v>2600</v>
      </c>
      <c r="F174" s="110">
        <v>2600000</v>
      </c>
      <c r="G174" s="111">
        <f t="shared" si="9"/>
        <v>2600</v>
      </c>
      <c r="H174" s="110">
        <v>2181700</v>
      </c>
      <c r="I174" s="173">
        <f t="shared" si="10"/>
        <v>2181.6999999999998</v>
      </c>
      <c r="J174" s="174">
        <f t="shared" si="11"/>
        <v>0.8391153846153846</v>
      </c>
    </row>
    <row r="175" spans="1:10" ht="12.9" customHeight="1" thickBot="1">
      <c r="A175" s="923"/>
      <c r="B175" s="911" t="s">
        <v>1348</v>
      </c>
      <c r="C175" s="904"/>
      <c r="D175" s="179">
        <v>2100000</v>
      </c>
      <c r="E175" s="180">
        <v>2600</v>
      </c>
      <c r="F175" s="181">
        <v>1760000</v>
      </c>
      <c r="G175" s="180">
        <v>2600</v>
      </c>
      <c r="H175" s="181">
        <v>1387814.34</v>
      </c>
      <c r="I175" s="182">
        <v>2181.6999999999998</v>
      </c>
      <c r="J175" s="183">
        <f>I175/G175</f>
        <v>0.8391153846153846</v>
      </c>
    </row>
    <row r="176" spans="1:10" ht="12.9" customHeight="1">
      <c r="A176" s="923"/>
      <c r="B176" s="905" t="s">
        <v>1301</v>
      </c>
      <c r="C176" s="94" t="s">
        <v>1437</v>
      </c>
      <c r="D176" s="95">
        <v>0</v>
      </c>
      <c r="E176" s="97">
        <f t="shared" si="8"/>
        <v>0</v>
      </c>
      <c r="F176" s="96">
        <v>1500000</v>
      </c>
      <c r="G176" s="97">
        <f t="shared" si="9"/>
        <v>1500</v>
      </c>
      <c r="H176" s="96">
        <v>1500000</v>
      </c>
      <c r="I176" s="175">
        <f t="shared" si="10"/>
        <v>1500</v>
      </c>
      <c r="J176" s="176">
        <f t="shared" si="11"/>
        <v>1</v>
      </c>
    </row>
    <row r="177" spans="1:10" ht="24" customHeight="1">
      <c r="A177" s="923"/>
      <c r="B177" s="905"/>
      <c r="C177" s="94" t="s">
        <v>1438</v>
      </c>
      <c r="D177" s="95">
        <v>0</v>
      </c>
      <c r="E177" s="97">
        <f t="shared" si="8"/>
        <v>0</v>
      </c>
      <c r="F177" s="96">
        <v>13164000</v>
      </c>
      <c r="G177" s="97">
        <f t="shared" si="9"/>
        <v>13164</v>
      </c>
      <c r="H177" s="96">
        <v>13014000</v>
      </c>
      <c r="I177" s="175">
        <f t="shared" si="10"/>
        <v>13014</v>
      </c>
      <c r="J177" s="176">
        <f t="shared" si="11"/>
        <v>0.98860528714676388</v>
      </c>
    </row>
    <row r="178" spans="1:10" ht="12.75" customHeight="1">
      <c r="A178" s="923"/>
      <c r="B178" s="905"/>
      <c r="C178" s="94" t="s">
        <v>1439</v>
      </c>
      <c r="D178" s="95">
        <v>0</v>
      </c>
      <c r="E178" s="97">
        <f t="shared" si="8"/>
        <v>0</v>
      </c>
      <c r="F178" s="96">
        <v>180000</v>
      </c>
      <c r="G178" s="97">
        <f t="shared" si="9"/>
        <v>180</v>
      </c>
      <c r="H178" s="96">
        <v>180000</v>
      </c>
      <c r="I178" s="175">
        <f t="shared" si="10"/>
        <v>180</v>
      </c>
      <c r="J178" s="176">
        <f t="shared" si="11"/>
        <v>1</v>
      </c>
    </row>
    <row r="179" spans="1:10" ht="12.9" customHeight="1">
      <c r="A179" s="923"/>
      <c r="B179" s="905"/>
      <c r="C179" s="94" t="s">
        <v>1440</v>
      </c>
      <c r="D179" s="95">
        <v>0</v>
      </c>
      <c r="E179" s="97">
        <f t="shared" si="8"/>
        <v>0</v>
      </c>
      <c r="F179" s="96">
        <v>200000</v>
      </c>
      <c r="G179" s="97">
        <f t="shared" si="9"/>
        <v>200</v>
      </c>
      <c r="H179" s="96">
        <v>200000</v>
      </c>
      <c r="I179" s="175">
        <f t="shared" si="10"/>
        <v>200</v>
      </c>
      <c r="J179" s="176">
        <f t="shared" si="11"/>
        <v>1</v>
      </c>
    </row>
    <row r="180" spans="1:10" ht="12.9" customHeight="1">
      <c r="A180" s="923"/>
      <c r="B180" s="905"/>
      <c r="C180" s="94" t="s">
        <v>1441</v>
      </c>
      <c r="D180" s="95">
        <v>50000000</v>
      </c>
      <c r="E180" s="97">
        <f t="shared" si="8"/>
        <v>50000</v>
      </c>
      <c r="F180" s="96">
        <v>51611000</v>
      </c>
      <c r="G180" s="97">
        <f t="shared" si="9"/>
        <v>51611</v>
      </c>
      <c r="H180" s="96">
        <v>51610990.100000001</v>
      </c>
      <c r="I180" s="175">
        <f t="shared" si="10"/>
        <v>51610.990100000003</v>
      </c>
      <c r="J180" s="176">
        <f t="shared" si="11"/>
        <v>0.99999980818042666</v>
      </c>
    </row>
    <row r="181" spans="1:10" ht="12.9" customHeight="1" thickBot="1">
      <c r="A181" s="923"/>
      <c r="B181" s="906"/>
      <c r="C181" s="100" t="s">
        <v>1442</v>
      </c>
      <c r="D181" s="101">
        <v>0</v>
      </c>
      <c r="E181" s="103">
        <f t="shared" si="8"/>
        <v>0</v>
      </c>
      <c r="F181" s="102">
        <v>140000</v>
      </c>
      <c r="G181" s="103">
        <f t="shared" si="9"/>
        <v>140</v>
      </c>
      <c r="H181" s="102">
        <v>140000</v>
      </c>
      <c r="I181" s="177">
        <f t="shared" si="10"/>
        <v>140</v>
      </c>
      <c r="J181" s="178">
        <f t="shared" si="11"/>
        <v>1</v>
      </c>
    </row>
    <row r="182" spans="1:10" ht="12.9" customHeight="1" thickBot="1">
      <c r="A182" s="924"/>
      <c r="B182" s="903" t="s">
        <v>1304</v>
      </c>
      <c r="C182" s="904"/>
      <c r="D182" s="179">
        <v>50000000</v>
      </c>
      <c r="E182" s="180">
        <f t="shared" si="8"/>
        <v>50000</v>
      </c>
      <c r="F182" s="181">
        <v>66795000</v>
      </c>
      <c r="G182" s="180">
        <f t="shared" si="9"/>
        <v>66795</v>
      </c>
      <c r="H182" s="181">
        <v>66644990.100000001</v>
      </c>
      <c r="I182" s="182">
        <f t="shared" si="10"/>
        <v>66644.990099999995</v>
      </c>
      <c r="J182" s="183">
        <f t="shared" si="11"/>
        <v>0.99775417471367622</v>
      </c>
    </row>
    <row r="183" spans="1:10" ht="12.9" customHeight="1" thickBot="1">
      <c r="A183" s="907" t="s">
        <v>1443</v>
      </c>
      <c r="B183" s="908"/>
      <c r="C183" s="908"/>
      <c r="D183" s="196">
        <v>54700000</v>
      </c>
      <c r="E183" s="197">
        <f t="shared" si="8"/>
        <v>54700</v>
      </c>
      <c r="F183" s="198">
        <v>71155000</v>
      </c>
      <c r="G183" s="197">
        <f t="shared" si="9"/>
        <v>71155</v>
      </c>
      <c r="H183" s="198">
        <v>70214504.439999998</v>
      </c>
      <c r="I183" s="197">
        <f t="shared" si="10"/>
        <v>70214.504440000004</v>
      </c>
      <c r="J183" s="199">
        <f t="shared" si="11"/>
        <v>0.98678243890099071</v>
      </c>
    </row>
    <row r="184" spans="1:10" s="172" customFormat="1" ht="12" customHeight="1" thickBot="1">
      <c r="A184" s="912" t="s">
        <v>1444</v>
      </c>
      <c r="B184" s="913"/>
      <c r="C184" s="913"/>
      <c r="D184" s="913"/>
      <c r="E184" s="913"/>
      <c r="F184" s="913"/>
      <c r="G184" s="913"/>
      <c r="H184" s="913"/>
      <c r="I184" s="913"/>
      <c r="J184" s="914"/>
    </row>
    <row r="185" spans="1:10" ht="12" customHeight="1">
      <c r="A185" s="922" t="s">
        <v>1444</v>
      </c>
      <c r="B185" s="921" t="s">
        <v>1295</v>
      </c>
      <c r="C185" s="108" t="s">
        <v>1421</v>
      </c>
      <c r="D185" s="109">
        <v>0</v>
      </c>
      <c r="E185" s="111">
        <f t="shared" si="8"/>
        <v>0</v>
      </c>
      <c r="F185" s="110">
        <v>42447079.280000001</v>
      </c>
      <c r="G185" s="111">
        <f t="shared" si="9"/>
        <v>42447.079279999998</v>
      </c>
      <c r="H185" s="110">
        <v>23437065.780000001</v>
      </c>
      <c r="I185" s="173">
        <f t="shared" si="10"/>
        <v>23437.065780000001</v>
      </c>
      <c r="J185" s="174">
        <f t="shared" si="11"/>
        <v>0.552147902224287</v>
      </c>
    </row>
    <row r="186" spans="1:10" ht="12" customHeight="1">
      <c r="A186" s="923"/>
      <c r="B186" s="905"/>
      <c r="C186" s="94" t="s">
        <v>1445</v>
      </c>
      <c r="D186" s="95">
        <v>0</v>
      </c>
      <c r="E186" s="97">
        <f t="shared" si="8"/>
        <v>0</v>
      </c>
      <c r="F186" s="96">
        <v>150000</v>
      </c>
      <c r="G186" s="97">
        <f t="shared" si="9"/>
        <v>150</v>
      </c>
      <c r="H186" s="96">
        <v>102893.4</v>
      </c>
      <c r="I186" s="175">
        <f t="shared" si="10"/>
        <v>102.8934</v>
      </c>
      <c r="J186" s="176">
        <f t="shared" si="11"/>
        <v>0.68595600000000001</v>
      </c>
    </row>
    <row r="187" spans="1:10" ht="21.75" customHeight="1">
      <c r="A187" s="923"/>
      <c r="B187" s="905"/>
      <c r="C187" s="94" t="s">
        <v>1446</v>
      </c>
      <c r="D187" s="95">
        <v>0</v>
      </c>
      <c r="E187" s="97">
        <f t="shared" si="8"/>
        <v>0</v>
      </c>
      <c r="F187" s="96">
        <v>262000</v>
      </c>
      <c r="G187" s="97">
        <f t="shared" si="9"/>
        <v>262</v>
      </c>
      <c r="H187" s="96">
        <v>195297</v>
      </c>
      <c r="I187" s="175">
        <f t="shared" si="10"/>
        <v>195.297</v>
      </c>
      <c r="J187" s="176">
        <f t="shared" si="11"/>
        <v>0.74540839694656491</v>
      </c>
    </row>
    <row r="188" spans="1:10" ht="12" customHeight="1">
      <c r="A188" s="923"/>
      <c r="B188" s="905"/>
      <c r="C188" s="94" t="s">
        <v>1447</v>
      </c>
      <c r="D188" s="95">
        <v>450000</v>
      </c>
      <c r="E188" s="97">
        <f t="shared" si="8"/>
        <v>450</v>
      </c>
      <c r="F188" s="96">
        <v>356000</v>
      </c>
      <c r="G188" s="97">
        <f t="shared" si="9"/>
        <v>356</v>
      </c>
      <c r="H188" s="96">
        <v>256000</v>
      </c>
      <c r="I188" s="175">
        <f t="shared" si="10"/>
        <v>256</v>
      </c>
      <c r="J188" s="176">
        <f t="shared" si="11"/>
        <v>0.7191011235955056</v>
      </c>
    </row>
    <row r="189" spans="1:10" ht="12" customHeight="1" thickBot="1">
      <c r="A189" s="923"/>
      <c r="B189" s="906"/>
      <c r="C189" s="100" t="s">
        <v>1448</v>
      </c>
      <c r="D189" s="101">
        <v>80000</v>
      </c>
      <c r="E189" s="103">
        <f t="shared" si="8"/>
        <v>80</v>
      </c>
      <c r="F189" s="102">
        <v>70000</v>
      </c>
      <c r="G189" s="103">
        <f t="shared" si="9"/>
        <v>70</v>
      </c>
      <c r="H189" s="102">
        <v>65947.600000000006</v>
      </c>
      <c r="I189" s="177">
        <f t="shared" si="10"/>
        <v>65.947600000000008</v>
      </c>
      <c r="J189" s="178">
        <f t="shared" si="11"/>
        <v>0.94210857142857152</v>
      </c>
    </row>
    <row r="190" spans="1:10" ht="12.9" customHeight="1" thickBot="1">
      <c r="A190" s="923"/>
      <c r="B190" s="911" t="s">
        <v>1300</v>
      </c>
      <c r="C190" s="904"/>
      <c r="D190" s="179">
        <v>530000</v>
      </c>
      <c r="E190" s="180">
        <f t="shared" si="8"/>
        <v>530</v>
      </c>
      <c r="F190" s="181">
        <v>43285079.280000001</v>
      </c>
      <c r="G190" s="180">
        <f t="shared" si="9"/>
        <v>43285.079279999998</v>
      </c>
      <c r="H190" s="181">
        <v>24057203.780000001</v>
      </c>
      <c r="I190" s="180">
        <f t="shared" si="10"/>
        <v>24057.20378</v>
      </c>
      <c r="J190" s="230">
        <f t="shared" si="11"/>
        <v>0.55578513843951083</v>
      </c>
    </row>
    <row r="191" spans="1:10" ht="11.25" customHeight="1">
      <c r="A191" s="923"/>
      <c r="B191" s="921" t="s">
        <v>1321</v>
      </c>
      <c r="C191" s="108" t="s">
        <v>1449</v>
      </c>
      <c r="D191" s="109">
        <v>21692000</v>
      </c>
      <c r="E191" s="111">
        <f t="shared" si="8"/>
        <v>21692</v>
      </c>
      <c r="F191" s="110">
        <v>0</v>
      </c>
      <c r="G191" s="111">
        <f t="shared" si="9"/>
        <v>0</v>
      </c>
      <c r="H191" s="110">
        <v>0</v>
      </c>
      <c r="I191" s="173">
        <f t="shared" si="10"/>
        <v>0</v>
      </c>
      <c r="J191" s="231" t="s">
        <v>1147</v>
      </c>
    </row>
    <row r="192" spans="1:10" ht="11.25" customHeight="1">
      <c r="A192" s="923"/>
      <c r="B192" s="905"/>
      <c r="C192" s="94" t="s">
        <v>1370</v>
      </c>
      <c r="D192" s="95">
        <v>0</v>
      </c>
      <c r="E192" s="97">
        <f t="shared" si="8"/>
        <v>0</v>
      </c>
      <c r="F192" s="96">
        <v>21488000</v>
      </c>
      <c r="G192" s="97">
        <f t="shared" si="9"/>
        <v>21488</v>
      </c>
      <c r="H192" s="96">
        <v>21488000</v>
      </c>
      <c r="I192" s="175">
        <f t="shared" si="10"/>
        <v>21488</v>
      </c>
      <c r="J192" s="176">
        <f t="shared" si="11"/>
        <v>1</v>
      </c>
    </row>
    <row r="193" spans="1:10" ht="11.25" customHeight="1">
      <c r="A193" s="923"/>
      <c r="B193" s="905"/>
      <c r="C193" s="94" t="s">
        <v>1326</v>
      </c>
      <c r="D193" s="95">
        <v>2133000</v>
      </c>
      <c r="E193" s="97">
        <f t="shared" si="8"/>
        <v>2133</v>
      </c>
      <c r="F193" s="96">
        <v>25553795.710000001</v>
      </c>
      <c r="G193" s="97">
        <f t="shared" si="9"/>
        <v>25553.795710000002</v>
      </c>
      <c r="H193" s="96">
        <v>25535975.710000001</v>
      </c>
      <c r="I193" s="175">
        <f t="shared" si="10"/>
        <v>25535.975710000002</v>
      </c>
      <c r="J193" s="176">
        <f t="shared" si="11"/>
        <v>0.99930264763003385</v>
      </c>
    </row>
    <row r="194" spans="1:10" ht="11.25" customHeight="1">
      <c r="A194" s="923"/>
      <c r="B194" s="905"/>
      <c r="C194" s="94" t="s">
        <v>1359</v>
      </c>
      <c r="D194" s="95">
        <v>0</v>
      </c>
      <c r="E194" s="97">
        <f t="shared" si="8"/>
        <v>0</v>
      </c>
      <c r="F194" s="96">
        <v>37621158</v>
      </c>
      <c r="G194" s="97">
        <f t="shared" si="9"/>
        <v>37621.158000000003</v>
      </c>
      <c r="H194" s="96">
        <v>37621158</v>
      </c>
      <c r="I194" s="175">
        <f t="shared" si="10"/>
        <v>37621.158000000003</v>
      </c>
      <c r="J194" s="176">
        <f t="shared" si="11"/>
        <v>1</v>
      </c>
    </row>
    <row r="195" spans="1:10" ht="11.25" customHeight="1">
      <c r="A195" s="923"/>
      <c r="B195" s="905"/>
      <c r="C195" s="94" t="s">
        <v>1330</v>
      </c>
      <c r="D195" s="95">
        <v>82600000</v>
      </c>
      <c r="E195" s="97">
        <f t="shared" si="8"/>
        <v>82600</v>
      </c>
      <c r="F195" s="96">
        <v>85408476.090000004</v>
      </c>
      <c r="G195" s="97">
        <f t="shared" si="9"/>
        <v>85408.476089999996</v>
      </c>
      <c r="H195" s="96">
        <v>55637047.920000002</v>
      </c>
      <c r="I195" s="175">
        <f t="shared" si="10"/>
        <v>55637.047920000005</v>
      </c>
      <c r="J195" s="176">
        <f t="shared" si="11"/>
        <v>0.6514230257588477</v>
      </c>
    </row>
    <row r="196" spans="1:10" ht="22.5" customHeight="1" thickBot="1">
      <c r="A196" s="923"/>
      <c r="B196" s="906"/>
      <c r="C196" s="100" t="s">
        <v>1450</v>
      </c>
      <c r="D196" s="101">
        <v>0</v>
      </c>
      <c r="E196" s="103">
        <f t="shared" si="8"/>
        <v>0</v>
      </c>
      <c r="F196" s="102">
        <v>9566175</v>
      </c>
      <c r="G196" s="103">
        <f t="shared" si="9"/>
        <v>9566.1749999999993</v>
      </c>
      <c r="H196" s="102">
        <v>9566175</v>
      </c>
      <c r="I196" s="177">
        <f t="shared" si="10"/>
        <v>9566.1749999999993</v>
      </c>
      <c r="J196" s="178">
        <f t="shared" si="11"/>
        <v>1</v>
      </c>
    </row>
    <row r="197" spans="1:10" ht="12.9" customHeight="1" thickBot="1">
      <c r="A197" s="923"/>
      <c r="B197" s="911" t="s">
        <v>1329</v>
      </c>
      <c r="C197" s="904"/>
      <c r="D197" s="179">
        <v>106425000</v>
      </c>
      <c r="E197" s="180">
        <f t="shared" si="8"/>
        <v>106425</v>
      </c>
      <c r="F197" s="181">
        <v>179637604.80000001</v>
      </c>
      <c r="G197" s="180">
        <f t="shared" si="9"/>
        <v>179637.6048</v>
      </c>
      <c r="H197" s="181">
        <v>149848356.63</v>
      </c>
      <c r="I197" s="182">
        <f t="shared" si="10"/>
        <v>149848.35662999999</v>
      </c>
      <c r="J197" s="183">
        <f t="shared" si="11"/>
        <v>0.83417031081456494</v>
      </c>
    </row>
    <row r="198" spans="1:10" ht="17.25" customHeight="1">
      <c r="A198" s="923"/>
      <c r="B198" s="918" t="s">
        <v>1330</v>
      </c>
      <c r="C198" s="108" t="s">
        <v>1421</v>
      </c>
      <c r="D198" s="109">
        <v>0</v>
      </c>
      <c r="E198" s="111">
        <f t="shared" si="8"/>
        <v>0</v>
      </c>
      <c r="F198" s="110">
        <v>578400</v>
      </c>
      <c r="G198" s="111">
        <f t="shared" si="9"/>
        <v>578.4</v>
      </c>
      <c r="H198" s="110">
        <v>578400</v>
      </c>
      <c r="I198" s="173">
        <f t="shared" si="10"/>
        <v>578.4</v>
      </c>
      <c r="J198" s="174">
        <f t="shared" si="11"/>
        <v>1</v>
      </c>
    </row>
    <row r="199" spans="1:10" ht="21" customHeight="1" thickBot="1">
      <c r="A199" s="923"/>
      <c r="B199" s="919"/>
      <c r="C199" s="100" t="s">
        <v>1446</v>
      </c>
      <c r="D199" s="101">
        <v>0</v>
      </c>
      <c r="E199" s="103">
        <f t="shared" si="8"/>
        <v>0</v>
      </c>
      <c r="F199" s="102">
        <v>884000</v>
      </c>
      <c r="G199" s="103">
        <f t="shared" si="9"/>
        <v>884</v>
      </c>
      <c r="H199" s="102">
        <v>832514</v>
      </c>
      <c r="I199" s="177">
        <f t="shared" si="10"/>
        <v>832.51400000000001</v>
      </c>
      <c r="J199" s="178">
        <f t="shared" si="11"/>
        <v>0.94175791855203617</v>
      </c>
    </row>
    <row r="200" spans="1:10" ht="12.9" customHeight="1" thickBot="1">
      <c r="A200" s="923"/>
      <c r="B200" s="911" t="s">
        <v>1332</v>
      </c>
      <c r="C200" s="904"/>
      <c r="D200" s="179">
        <v>0</v>
      </c>
      <c r="E200" s="180">
        <f t="shared" si="8"/>
        <v>0</v>
      </c>
      <c r="F200" s="181">
        <v>1462400</v>
      </c>
      <c r="G200" s="180">
        <f t="shared" si="9"/>
        <v>1462.4</v>
      </c>
      <c r="H200" s="181">
        <v>1410914</v>
      </c>
      <c r="I200" s="182">
        <f t="shared" si="10"/>
        <v>1410.914</v>
      </c>
      <c r="J200" s="183">
        <f t="shared" si="11"/>
        <v>0.96479349015317284</v>
      </c>
    </row>
    <row r="201" spans="1:10" ht="12.9" customHeight="1">
      <c r="A201" s="923"/>
      <c r="B201" s="921" t="s">
        <v>1301</v>
      </c>
      <c r="C201" s="108" t="s">
        <v>1451</v>
      </c>
      <c r="D201" s="109">
        <v>0</v>
      </c>
      <c r="E201" s="111">
        <f t="shared" si="8"/>
        <v>0</v>
      </c>
      <c r="F201" s="110">
        <v>200000</v>
      </c>
      <c r="G201" s="111">
        <f t="shared" si="9"/>
        <v>200</v>
      </c>
      <c r="H201" s="110">
        <v>200000</v>
      </c>
      <c r="I201" s="173">
        <f t="shared" si="10"/>
        <v>200</v>
      </c>
      <c r="J201" s="174">
        <f t="shared" si="11"/>
        <v>1</v>
      </c>
    </row>
    <row r="202" spans="1:10" ht="12.9" customHeight="1">
      <c r="A202" s="923"/>
      <c r="B202" s="905"/>
      <c r="C202" s="94" t="s">
        <v>1452</v>
      </c>
      <c r="D202" s="95">
        <v>0</v>
      </c>
      <c r="E202" s="97">
        <f t="shared" si="8"/>
        <v>0</v>
      </c>
      <c r="F202" s="96">
        <v>500000</v>
      </c>
      <c r="G202" s="97">
        <f t="shared" si="9"/>
        <v>500</v>
      </c>
      <c r="H202" s="96">
        <v>500000</v>
      </c>
      <c r="I202" s="175">
        <f t="shared" si="10"/>
        <v>500</v>
      </c>
      <c r="J202" s="176">
        <f t="shared" si="11"/>
        <v>1</v>
      </c>
    </row>
    <row r="203" spans="1:10" ht="20.25" customHeight="1">
      <c r="A203" s="923"/>
      <c r="B203" s="905"/>
      <c r="C203" s="94" t="s">
        <v>1453</v>
      </c>
      <c r="D203" s="95">
        <v>0</v>
      </c>
      <c r="E203" s="97">
        <f t="shared" si="8"/>
        <v>0</v>
      </c>
      <c r="F203" s="96">
        <v>4190000</v>
      </c>
      <c r="G203" s="97">
        <f t="shared" si="9"/>
        <v>4190</v>
      </c>
      <c r="H203" s="96">
        <v>4190000</v>
      </c>
      <c r="I203" s="175">
        <f t="shared" si="10"/>
        <v>4190</v>
      </c>
      <c r="J203" s="176">
        <f t="shared" si="11"/>
        <v>1</v>
      </c>
    </row>
    <row r="204" spans="1:10" ht="12.9" customHeight="1">
      <c r="A204" s="923"/>
      <c r="B204" s="905"/>
      <c r="C204" s="94" t="s">
        <v>1454</v>
      </c>
      <c r="D204" s="95">
        <v>0</v>
      </c>
      <c r="E204" s="97">
        <f t="shared" si="8"/>
        <v>0</v>
      </c>
      <c r="F204" s="96">
        <v>650000</v>
      </c>
      <c r="G204" s="97">
        <f t="shared" si="9"/>
        <v>650</v>
      </c>
      <c r="H204" s="96">
        <v>650000</v>
      </c>
      <c r="I204" s="175">
        <f t="shared" si="10"/>
        <v>650</v>
      </c>
      <c r="J204" s="176">
        <f t="shared" si="11"/>
        <v>1</v>
      </c>
    </row>
    <row r="205" spans="1:10" ht="29.25" customHeight="1">
      <c r="A205" s="923"/>
      <c r="B205" s="905"/>
      <c r="C205" s="94" t="s">
        <v>1455</v>
      </c>
      <c r="D205" s="95">
        <v>0</v>
      </c>
      <c r="E205" s="97">
        <f t="shared" ref="E205:E268" si="12">D205/1000</f>
        <v>0</v>
      </c>
      <c r="F205" s="96">
        <v>1000000</v>
      </c>
      <c r="G205" s="97">
        <f t="shared" ref="G205:G268" si="13">F205/1000</f>
        <v>1000</v>
      </c>
      <c r="H205" s="96">
        <v>1000000</v>
      </c>
      <c r="I205" s="175">
        <f t="shared" ref="I205:I268" si="14">H205/1000</f>
        <v>1000</v>
      </c>
      <c r="J205" s="176">
        <f t="shared" ref="J205:J268" si="15">H205/F205</f>
        <v>1</v>
      </c>
    </row>
    <row r="206" spans="1:10" ht="12.9" customHeight="1">
      <c r="A206" s="923"/>
      <c r="B206" s="905"/>
      <c r="C206" s="94" t="s">
        <v>1456</v>
      </c>
      <c r="D206" s="95">
        <v>300000</v>
      </c>
      <c r="E206" s="97">
        <f t="shared" si="12"/>
        <v>300</v>
      </c>
      <c r="F206" s="96">
        <v>292590</v>
      </c>
      <c r="G206" s="97">
        <f t="shared" si="13"/>
        <v>292.58999999999997</v>
      </c>
      <c r="H206" s="96">
        <v>292590</v>
      </c>
      <c r="I206" s="175">
        <f t="shared" si="14"/>
        <v>292.58999999999997</v>
      </c>
      <c r="J206" s="176">
        <f t="shared" si="15"/>
        <v>1</v>
      </c>
    </row>
    <row r="207" spans="1:10" ht="19.5" customHeight="1">
      <c r="A207" s="923"/>
      <c r="B207" s="905"/>
      <c r="C207" s="94" t="s">
        <v>1457</v>
      </c>
      <c r="D207" s="95">
        <v>0</v>
      </c>
      <c r="E207" s="97">
        <f t="shared" si="12"/>
        <v>0</v>
      </c>
      <c r="F207" s="96">
        <v>400000</v>
      </c>
      <c r="G207" s="97">
        <f t="shared" si="13"/>
        <v>400</v>
      </c>
      <c r="H207" s="96">
        <v>400000</v>
      </c>
      <c r="I207" s="175">
        <f t="shared" si="14"/>
        <v>400</v>
      </c>
      <c r="J207" s="176">
        <f t="shared" si="15"/>
        <v>1</v>
      </c>
    </row>
    <row r="208" spans="1:10" ht="12.9" customHeight="1">
      <c r="A208" s="923"/>
      <c r="B208" s="905"/>
      <c r="C208" s="94" t="s">
        <v>1458</v>
      </c>
      <c r="D208" s="95">
        <v>0</v>
      </c>
      <c r="E208" s="97">
        <f t="shared" si="12"/>
        <v>0</v>
      </c>
      <c r="F208" s="96">
        <v>5000000</v>
      </c>
      <c r="G208" s="97">
        <f t="shared" si="13"/>
        <v>5000</v>
      </c>
      <c r="H208" s="96">
        <v>4971667</v>
      </c>
      <c r="I208" s="175">
        <f t="shared" si="14"/>
        <v>4971.6670000000004</v>
      </c>
      <c r="J208" s="176">
        <f t="shared" si="15"/>
        <v>0.99433340000000003</v>
      </c>
    </row>
    <row r="209" spans="1:10" ht="21.75" customHeight="1">
      <c r="A209" s="923"/>
      <c r="B209" s="905"/>
      <c r="C209" s="94" t="s">
        <v>1459</v>
      </c>
      <c r="D209" s="95">
        <v>0</v>
      </c>
      <c r="E209" s="97">
        <f t="shared" si="12"/>
        <v>0</v>
      </c>
      <c r="F209" s="96">
        <v>2000000</v>
      </c>
      <c r="G209" s="97">
        <f t="shared" si="13"/>
        <v>2000</v>
      </c>
      <c r="H209" s="96">
        <v>2000000</v>
      </c>
      <c r="I209" s="175">
        <f t="shared" si="14"/>
        <v>2000</v>
      </c>
      <c r="J209" s="176">
        <f t="shared" si="15"/>
        <v>1</v>
      </c>
    </row>
    <row r="210" spans="1:10" ht="12.9" customHeight="1">
      <c r="A210" s="923"/>
      <c r="B210" s="905"/>
      <c r="C210" s="94" t="s">
        <v>1460</v>
      </c>
      <c r="D210" s="95">
        <v>3100000</v>
      </c>
      <c r="E210" s="97">
        <f t="shared" si="12"/>
        <v>3100</v>
      </c>
      <c r="F210" s="96">
        <v>3100000</v>
      </c>
      <c r="G210" s="97">
        <f t="shared" si="13"/>
        <v>3100</v>
      </c>
      <c r="H210" s="96">
        <v>3100000</v>
      </c>
      <c r="I210" s="175">
        <f t="shared" si="14"/>
        <v>3100</v>
      </c>
      <c r="J210" s="176">
        <f t="shared" si="15"/>
        <v>1</v>
      </c>
    </row>
    <row r="211" spans="1:10" ht="12.9" customHeight="1">
      <c r="A211" s="923"/>
      <c r="B211" s="905"/>
      <c r="C211" s="94" t="s">
        <v>1461</v>
      </c>
      <c r="D211" s="95">
        <v>400000</v>
      </c>
      <c r="E211" s="97">
        <f t="shared" si="12"/>
        <v>400</v>
      </c>
      <c r="F211" s="96">
        <v>400000</v>
      </c>
      <c r="G211" s="97">
        <f t="shared" si="13"/>
        <v>400</v>
      </c>
      <c r="H211" s="96">
        <v>400000</v>
      </c>
      <c r="I211" s="175">
        <f t="shared" si="14"/>
        <v>400</v>
      </c>
      <c r="J211" s="176">
        <f t="shared" si="15"/>
        <v>1</v>
      </c>
    </row>
    <row r="212" spans="1:10" ht="12.9" customHeight="1">
      <c r="A212" s="923"/>
      <c r="B212" s="905"/>
      <c r="C212" s="94" t="s">
        <v>1462</v>
      </c>
      <c r="D212" s="95">
        <v>3000000</v>
      </c>
      <c r="E212" s="97">
        <f t="shared" si="12"/>
        <v>3000</v>
      </c>
      <c r="F212" s="96">
        <v>0</v>
      </c>
      <c r="G212" s="97">
        <f t="shared" si="13"/>
        <v>0</v>
      </c>
      <c r="H212" s="96">
        <v>0</v>
      </c>
      <c r="I212" s="175">
        <f t="shared" si="14"/>
        <v>0</v>
      </c>
      <c r="J212" s="189" t="s">
        <v>1147</v>
      </c>
    </row>
    <row r="213" spans="1:10" ht="21" customHeight="1" thickBot="1">
      <c r="A213" s="923"/>
      <c r="B213" s="906"/>
      <c r="C213" s="100" t="s">
        <v>1450</v>
      </c>
      <c r="D213" s="101">
        <v>0</v>
      </c>
      <c r="E213" s="103">
        <f t="shared" si="12"/>
        <v>0</v>
      </c>
      <c r="F213" s="102">
        <v>2283264</v>
      </c>
      <c r="G213" s="103">
        <f t="shared" si="13"/>
        <v>2283.2640000000001</v>
      </c>
      <c r="H213" s="102">
        <v>2283264</v>
      </c>
      <c r="I213" s="177">
        <f t="shared" si="14"/>
        <v>2283.2640000000001</v>
      </c>
      <c r="J213" s="178">
        <f t="shared" si="15"/>
        <v>1</v>
      </c>
    </row>
    <row r="214" spans="1:10" ht="12.9" customHeight="1" thickBot="1">
      <c r="A214" s="924"/>
      <c r="B214" s="903" t="s">
        <v>1304</v>
      </c>
      <c r="C214" s="904"/>
      <c r="D214" s="179">
        <v>6800000</v>
      </c>
      <c r="E214" s="180">
        <f t="shared" si="12"/>
        <v>6800</v>
      </c>
      <c r="F214" s="181">
        <v>20015854</v>
      </c>
      <c r="G214" s="180">
        <f t="shared" si="13"/>
        <v>20015.853999999999</v>
      </c>
      <c r="H214" s="181">
        <v>19987521</v>
      </c>
      <c r="I214" s="182">
        <f t="shared" si="14"/>
        <v>19987.521000000001</v>
      </c>
      <c r="J214" s="183">
        <f t="shared" si="15"/>
        <v>0.99858447208897505</v>
      </c>
    </row>
    <row r="215" spans="1:10" ht="12.9" customHeight="1" thickBot="1">
      <c r="A215" s="907" t="s">
        <v>1463</v>
      </c>
      <c r="B215" s="908"/>
      <c r="C215" s="908"/>
      <c r="D215" s="196">
        <v>113755000</v>
      </c>
      <c r="E215" s="197">
        <f t="shared" si="12"/>
        <v>113755</v>
      </c>
      <c r="F215" s="198">
        <v>244400938.08000001</v>
      </c>
      <c r="G215" s="197">
        <f t="shared" si="13"/>
        <v>244400.93808000002</v>
      </c>
      <c r="H215" s="198">
        <v>195303995.41</v>
      </c>
      <c r="I215" s="197">
        <f t="shared" si="14"/>
        <v>195303.99541</v>
      </c>
      <c r="J215" s="199">
        <f t="shared" si="15"/>
        <v>0.7991131169311263</v>
      </c>
    </row>
    <row r="216" spans="1:10" s="172" customFormat="1" ht="12" customHeight="1" thickBot="1">
      <c r="A216" s="912" t="s">
        <v>1464</v>
      </c>
      <c r="B216" s="913"/>
      <c r="C216" s="913"/>
      <c r="D216" s="913"/>
      <c r="E216" s="913"/>
      <c r="F216" s="913"/>
      <c r="G216" s="913"/>
      <c r="H216" s="913"/>
      <c r="I216" s="913"/>
      <c r="J216" s="914"/>
    </row>
    <row r="217" spans="1:10" ht="12.9" customHeight="1">
      <c r="A217" s="922" t="s">
        <v>1464</v>
      </c>
      <c r="B217" s="921" t="s">
        <v>1295</v>
      </c>
      <c r="C217" s="108" t="s">
        <v>1465</v>
      </c>
      <c r="D217" s="109">
        <v>6000000</v>
      </c>
      <c r="E217" s="111">
        <f t="shared" si="12"/>
        <v>6000</v>
      </c>
      <c r="F217" s="110">
        <v>2013120</v>
      </c>
      <c r="G217" s="111">
        <f t="shared" si="13"/>
        <v>2013.12</v>
      </c>
      <c r="H217" s="110">
        <v>1926562</v>
      </c>
      <c r="I217" s="173">
        <f t="shared" si="14"/>
        <v>1926.5619999999999</v>
      </c>
      <c r="J217" s="174">
        <f t="shared" si="15"/>
        <v>0.95700305992687962</v>
      </c>
    </row>
    <row r="218" spans="1:10" ht="12.9" customHeight="1">
      <c r="A218" s="923"/>
      <c r="B218" s="905"/>
      <c r="C218" s="94" t="s">
        <v>1421</v>
      </c>
      <c r="D218" s="95">
        <v>0</v>
      </c>
      <c r="E218" s="97">
        <f t="shared" si="12"/>
        <v>0</v>
      </c>
      <c r="F218" s="96">
        <v>2775000</v>
      </c>
      <c r="G218" s="97">
        <f t="shared" si="13"/>
        <v>2775</v>
      </c>
      <c r="H218" s="96">
        <v>2774543.1</v>
      </c>
      <c r="I218" s="175">
        <f t="shared" si="14"/>
        <v>2774.5430999999999</v>
      </c>
      <c r="J218" s="176">
        <f t="shared" si="15"/>
        <v>0.99983535135135138</v>
      </c>
    </row>
    <row r="219" spans="1:10" ht="12.9" customHeight="1">
      <c r="A219" s="923"/>
      <c r="B219" s="905"/>
      <c r="C219" s="94" t="s">
        <v>1466</v>
      </c>
      <c r="D219" s="95">
        <v>0</v>
      </c>
      <c r="E219" s="97">
        <f t="shared" si="12"/>
        <v>0</v>
      </c>
      <c r="F219" s="96">
        <v>5392350.2999999998</v>
      </c>
      <c r="G219" s="97">
        <f t="shared" si="13"/>
        <v>5392.3503000000001</v>
      </c>
      <c r="H219" s="96">
        <v>1514769</v>
      </c>
      <c r="I219" s="175">
        <f t="shared" si="14"/>
        <v>1514.769</v>
      </c>
      <c r="J219" s="176">
        <f t="shared" si="15"/>
        <v>0.28091071902357678</v>
      </c>
    </row>
    <row r="220" spans="1:10" ht="12.9" customHeight="1">
      <c r="A220" s="923"/>
      <c r="B220" s="905"/>
      <c r="C220" s="94" t="s">
        <v>1296</v>
      </c>
      <c r="D220" s="95">
        <v>8847000</v>
      </c>
      <c r="E220" s="97">
        <f t="shared" si="12"/>
        <v>8847</v>
      </c>
      <c r="F220" s="96">
        <v>10313115</v>
      </c>
      <c r="G220" s="97">
        <f t="shared" si="13"/>
        <v>10313.115</v>
      </c>
      <c r="H220" s="96">
        <v>9868553.0899999999</v>
      </c>
      <c r="I220" s="175">
        <f t="shared" si="14"/>
        <v>9868.5530899999994</v>
      </c>
      <c r="J220" s="176">
        <f t="shared" si="15"/>
        <v>0.95689353701573188</v>
      </c>
    </row>
    <row r="221" spans="1:10" ht="12.9" customHeight="1">
      <c r="A221" s="923"/>
      <c r="B221" s="905"/>
      <c r="C221" s="94" t="s">
        <v>1297</v>
      </c>
      <c r="D221" s="95">
        <v>28664000</v>
      </c>
      <c r="E221" s="97">
        <f t="shared" si="12"/>
        <v>28664</v>
      </c>
      <c r="F221" s="96">
        <v>27112000</v>
      </c>
      <c r="G221" s="97">
        <f t="shared" si="13"/>
        <v>27112</v>
      </c>
      <c r="H221" s="96">
        <v>24792470.849999998</v>
      </c>
      <c r="I221" s="175">
        <f t="shared" si="14"/>
        <v>24792.470849999998</v>
      </c>
      <c r="J221" s="176">
        <f t="shared" si="15"/>
        <v>0.9144464019622307</v>
      </c>
    </row>
    <row r="222" spans="1:10" ht="12.9" customHeight="1">
      <c r="A222" s="923"/>
      <c r="B222" s="905"/>
      <c r="C222" s="94" t="s">
        <v>1467</v>
      </c>
      <c r="D222" s="95">
        <v>7880000</v>
      </c>
      <c r="E222" s="97">
        <f t="shared" si="12"/>
        <v>7880</v>
      </c>
      <c r="F222" s="96">
        <v>6463399.5899999999</v>
      </c>
      <c r="G222" s="97">
        <f t="shared" si="13"/>
        <v>6463.39959</v>
      </c>
      <c r="H222" s="96">
        <v>5550006.6100000003</v>
      </c>
      <c r="I222" s="175">
        <f t="shared" si="14"/>
        <v>5550.0066100000004</v>
      </c>
      <c r="J222" s="176">
        <f t="shared" si="15"/>
        <v>0.85868226661814673</v>
      </c>
    </row>
    <row r="223" spans="1:10" ht="12.9" customHeight="1">
      <c r="A223" s="923"/>
      <c r="B223" s="905"/>
      <c r="C223" s="94" t="s">
        <v>1298</v>
      </c>
      <c r="D223" s="95">
        <v>5688000</v>
      </c>
      <c r="E223" s="97">
        <f t="shared" si="12"/>
        <v>5688</v>
      </c>
      <c r="F223" s="96">
        <v>6066000</v>
      </c>
      <c r="G223" s="97">
        <f t="shared" si="13"/>
        <v>6066</v>
      </c>
      <c r="H223" s="96">
        <v>5764233.5999999996</v>
      </c>
      <c r="I223" s="175">
        <f t="shared" si="14"/>
        <v>5764.2335999999996</v>
      </c>
      <c r="J223" s="176">
        <f t="shared" si="15"/>
        <v>0.95025281899109781</v>
      </c>
    </row>
    <row r="224" spans="1:10" ht="12.9" customHeight="1">
      <c r="A224" s="923"/>
      <c r="B224" s="905"/>
      <c r="C224" s="94" t="s">
        <v>1468</v>
      </c>
      <c r="D224" s="95">
        <v>0</v>
      </c>
      <c r="E224" s="97">
        <f t="shared" si="12"/>
        <v>0</v>
      </c>
      <c r="F224" s="96">
        <v>700000</v>
      </c>
      <c r="G224" s="97">
        <f t="shared" si="13"/>
        <v>700</v>
      </c>
      <c r="H224" s="96">
        <v>685000</v>
      </c>
      <c r="I224" s="175">
        <f t="shared" si="14"/>
        <v>685</v>
      </c>
      <c r="J224" s="176">
        <f t="shared" si="15"/>
        <v>0.97857142857142854</v>
      </c>
    </row>
    <row r="225" spans="1:10" ht="12.9" customHeight="1">
      <c r="A225" s="923"/>
      <c r="B225" s="905"/>
      <c r="C225" s="94" t="s">
        <v>1469</v>
      </c>
      <c r="D225" s="95">
        <v>1590000</v>
      </c>
      <c r="E225" s="97">
        <f t="shared" si="12"/>
        <v>1590</v>
      </c>
      <c r="F225" s="96">
        <v>1590000</v>
      </c>
      <c r="G225" s="97">
        <f t="shared" si="13"/>
        <v>1590</v>
      </c>
      <c r="H225" s="96">
        <v>1163840</v>
      </c>
      <c r="I225" s="175">
        <f t="shared" si="14"/>
        <v>1163.8399999999999</v>
      </c>
      <c r="J225" s="176">
        <f t="shared" si="15"/>
        <v>0.73197484276729563</v>
      </c>
    </row>
    <row r="226" spans="1:10" ht="12.9" customHeight="1">
      <c r="A226" s="923"/>
      <c r="B226" s="905"/>
      <c r="C226" s="94" t="s">
        <v>1299</v>
      </c>
      <c r="D226" s="95">
        <v>450000</v>
      </c>
      <c r="E226" s="97">
        <f t="shared" si="12"/>
        <v>450</v>
      </c>
      <c r="F226" s="96">
        <v>450000</v>
      </c>
      <c r="G226" s="97">
        <f t="shared" si="13"/>
        <v>450</v>
      </c>
      <c r="H226" s="96">
        <v>148916</v>
      </c>
      <c r="I226" s="175">
        <f t="shared" si="14"/>
        <v>148.916</v>
      </c>
      <c r="J226" s="176">
        <f t="shared" si="15"/>
        <v>0.33092444444444447</v>
      </c>
    </row>
    <row r="227" spans="1:10" ht="12.9" customHeight="1">
      <c r="A227" s="923"/>
      <c r="B227" s="905"/>
      <c r="C227" s="94" t="s">
        <v>1470</v>
      </c>
      <c r="D227" s="95">
        <v>130790000</v>
      </c>
      <c r="E227" s="97">
        <f t="shared" si="12"/>
        <v>130790</v>
      </c>
      <c r="F227" s="96">
        <v>133883930</v>
      </c>
      <c r="G227" s="97">
        <f t="shared" si="13"/>
        <v>133883.93</v>
      </c>
      <c r="H227" s="96">
        <v>132767510</v>
      </c>
      <c r="I227" s="175">
        <f t="shared" si="14"/>
        <v>132767.51</v>
      </c>
      <c r="J227" s="176">
        <f t="shared" si="15"/>
        <v>0.99166128451711866</v>
      </c>
    </row>
    <row r="228" spans="1:10" ht="12.9" customHeight="1">
      <c r="A228" s="923"/>
      <c r="B228" s="905"/>
      <c r="C228" s="94" t="s">
        <v>1471</v>
      </c>
      <c r="D228" s="95">
        <v>0</v>
      </c>
      <c r="E228" s="97">
        <f t="shared" si="12"/>
        <v>0</v>
      </c>
      <c r="F228" s="96">
        <v>165000</v>
      </c>
      <c r="G228" s="97">
        <f t="shared" si="13"/>
        <v>165</v>
      </c>
      <c r="H228" s="96">
        <v>145639</v>
      </c>
      <c r="I228" s="175">
        <f t="shared" si="14"/>
        <v>145.63900000000001</v>
      </c>
      <c r="J228" s="176">
        <f t="shared" si="15"/>
        <v>0.88266060606060603</v>
      </c>
    </row>
    <row r="229" spans="1:10" ht="12.9" customHeight="1">
      <c r="A229" s="923"/>
      <c r="B229" s="905"/>
      <c r="C229" s="94" t="s">
        <v>1472</v>
      </c>
      <c r="D229" s="95">
        <v>45645000</v>
      </c>
      <c r="E229" s="97">
        <f t="shared" si="12"/>
        <v>45645</v>
      </c>
      <c r="F229" s="96">
        <v>46696938</v>
      </c>
      <c r="G229" s="97">
        <f t="shared" si="13"/>
        <v>46696.938000000002</v>
      </c>
      <c r="H229" s="96">
        <v>45798460</v>
      </c>
      <c r="I229" s="175">
        <f t="shared" si="14"/>
        <v>45798.46</v>
      </c>
      <c r="J229" s="176">
        <f t="shared" si="15"/>
        <v>0.98075938083991721</v>
      </c>
    </row>
    <row r="230" spans="1:10" ht="12.9" customHeight="1">
      <c r="A230" s="923"/>
      <c r="B230" s="905"/>
      <c r="C230" s="94" t="s">
        <v>1473</v>
      </c>
      <c r="D230" s="95">
        <v>0</v>
      </c>
      <c r="E230" s="97">
        <f t="shared" si="12"/>
        <v>0</v>
      </c>
      <c r="F230" s="96">
        <v>326463</v>
      </c>
      <c r="G230" s="97">
        <f t="shared" si="13"/>
        <v>326.46300000000002</v>
      </c>
      <c r="H230" s="96">
        <v>0</v>
      </c>
      <c r="I230" s="175">
        <f t="shared" si="14"/>
        <v>0</v>
      </c>
      <c r="J230" s="176">
        <f t="shared" si="15"/>
        <v>0</v>
      </c>
    </row>
    <row r="231" spans="1:10" ht="12.9" customHeight="1">
      <c r="A231" s="923"/>
      <c r="B231" s="905"/>
      <c r="C231" s="94" t="s">
        <v>1474</v>
      </c>
      <c r="D231" s="95">
        <v>0</v>
      </c>
      <c r="E231" s="97">
        <f t="shared" si="12"/>
        <v>0</v>
      </c>
      <c r="F231" s="96">
        <v>200000</v>
      </c>
      <c r="G231" s="97">
        <f t="shared" si="13"/>
        <v>200</v>
      </c>
      <c r="H231" s="96">
        <v>225729.1</v>
      </c>
      <c r="I231" s="175">
        <f t="shared" si="14"/>
        <v>225.72910000000002</v>
      </c>
      <c r="J231" s="176">
        <f t="shared" si="15"/>
        <v>1.1286455</v>
      </c>
    </row>
    <row r="232" spans="1:10" ht="12.9" customHeight="1">
      <c r="A232" s="923"/>
      <c r="B232" s="905"/>
      <c r="C232" s="94" t="s">
        <v>1475</v>
      </c>
      <c r="D232" s="95">
        <v>0</v>
      </c>
      <c r="E232" s="97">
        <f t="shared" si="12"/>
        <v>0</v>
      </c>
      <c r="F232" s="96">
        <v>320000</v>
      </c>
      <c r="G232" s="97">
        <f t="shared" si="13"/>
        <v>320</v>
      </c>
      <c r="H232" s="96">
        <v>312674.13</v>
      </c>
      <c r="I232" s="175">
        <f t="shared" si="14"/>
        <v>312.67412999999999</v>
      </c>
      <c r="J232" s="176">
        <f t="shared" si="15"/>
        <v>0.97710665625000004</v>
      </c>
    </row>
    <row r="233" spans="1:10" ht="21.75" customHeight="1">
      <c r="A233" s="923"/>
      <c r="B233" s="905"/>
      <c r="C233" s="94" t="s">
        <v>1476</v>
      </c>
      <c r="D233" s="95">
        <v>1434000</v>
      </c>
      <c r="E233" s="97">
        <f t="shared" si="12"/>
        <v>1434</v>
      </c>
      <c r="F233" s="96">
        <v>1434000</v>
      </c>
      <c r="G233" s="97">
        <f t="shared" si="13"/>
        <v>1434</v>
      </c>
      <c r="H233" s="96">
        <v>624761</v>
      </c>
      <c r="I233" s="175">
        <f t="shared" si="14"/>
        <v>624.76099999999997</v>
      </c>
      <c r="J233" s="176">
        <f t="shared" si="15"/>
        <v>0.43567712691771271</v>
      </c>
    </row>
    <row r="234" spans="1:10" ht="12.9" customHeight="1" thickBot="1">
      <c r="A234" s="923"/>
      <c r="B234" s="906"/>
      <c r="C234" s="100" t="s">
        <v>1477</v>
      </c>
      <c r="D234" s="101">
        <v>0</v>
      </c>
      <c r="E234" s="103">
        <f t="shared" si="12"/>
        <v>0</v>
      </c>
      <c r="F234" s="102">
        <v>0</v>
      </c>
      <c r="G234" s="103">
        <f t="shared" si="13"/>
        <v>0</v>
      </c>
      <c r="H234" s="102">
        <v>94432.1</v>
      </c>
      <c r="I234" s="177">
        <f t="shared" si="14"/>
        <v>94.432100000000005</v>
      </c>
      <c r="J234" s="190" t="s">
        <v>1147</v>
      </c>
    </row>
    <row r="235" spans="1:10" ht="12.9" customHeight="1" thickBot="1">
      <c r="A235" s="923"/>
      <c r="B235" s="911" t="s">
        <v>1300</v>
      </c>
      <c r="C235" s="904"/>
      <c r="D235" s="179">
        <v>236988000</v>
      </c>
      <c r="E235" s="180">
        <f t="shared" si="12"/>
        <v>236988</v>
      </c>
      <c r="F235" s="181">
        <v>245901315.88999999</v>
      </c>
      <c r="G235" s="180">
        <f t="shared" si="13"/>
        <v>245901.31589</v>
      </c>
      <c r="H235" s="181">
        <v>234158099.58000001</v>
      </c>
      <c r="I235" s="182">
        <f t="shared" si="14"/>
        <v>234158.09958000001</v>
      </c>
      <c r="J235" s="183">
        <f t="shared" si="15"/>
        <v>0.95224419085559875</v>
      </c>
    </row>
    <row r="236" spans="1:10" ht="12.9" customHeight="1">
      <c r="A236" s="923"/>
      <c r="B236" s="921" t="s">
        <v>1347</v>
      </c>
      <c r="C236" s="108" t="s">
        <v>1478</v>
      </c>
      <c r="D236" s="109">
        <v>900000</v>
      </c>
      <c r="E236" s="111">
        <f t="shared" si="12"/>
        <v>900</v>
      </c>
      <c r="F236" s="110">
        <v>1530000</v>
      </c>
      <c r="G236" s="111">
        <f t="shared" si="13"/>
        <v>1530</v>
      </c>
      <c r="H236" s="110">
        <v>1462700</v>
      </c>
      <c r="I236" s="173">
        <f t="shared" si="14"/>
        <v>1462.7</v>
      </c>
      <c r="J236" s="174">
        <f t="shared" si="15"/>
        <v>0.95601307189542484</v>
      </c>
    </row>
    <row r="237" spans="1:10" ht="12.9" customHeight="1">
      <c r="A237" s="923"/>
      <c r="B237" s="905"/>
      <c r="C237" s="94" t="s">
        <v>1479</v>
      </c>
      <c r="D237" s="95">
        <v>0</v>
      </c>
      <c r="E237" s="97">
        <f t="shared" si="12"/>
        <v>0</v>
      </c>
      <c r="F237" s="96">
        <v>165030</v>
      </c>
      <c r="G237" s="97">
        <f t="shared" si="13"/>
        <v>165.03</v>
      </c>
      <c r="H237" s="96">
        <v>165030</v>
      </c>
      <c r="I237" s="175">
        <f t="shared" si="14"/>
        <v>165.03</v>
      </c>
      <c r="J237" s="176">
        <f t="shared" si="15"/>
        <v>1</v>
      </c>
    </row>
    <row r="238" spans="1:10" ht="12.9" customHeight="1">
      <c r="A238" s="923"/>
      <c r="B238" s="905"/>
      <c r="C238" s="94" t="s">
        <v>1466</v>
      </c>
      <c r="D238" s="95">
        <v>0</v>
      </c>
      <c r="E238" s="97">
        <f t="shared" si="12"/>
        <v>0</v>
      </c>
      <c r="F238" s="96">
        <v>3139000</v>
      </c>
      <c r="G238" s="97">
        <f t="shared" si="13"/>
        <v>3139</v>
      </c>
      <c r="H238" s="96">
        <v>2653000</v>
      </c>
      <c r="I238" s="175">
        <f t="shared" si="14"/>
        <v>2653</v>
      </c>
      <c r="J238" s="176">
        <f t="shared" si="15"/>
        <v>0.84517362217266645</v>
      </c>
    </row>
    <row r="239" spans="1:10" ht="12.9" customHeight="1">
      <c r="A239" s="923"/>
      <c r="B239" s="905"/>
      <c r="C239" s="94" t="s">
        <v>1480</v>
      </c>
      <c r="D239" s="95">
        <v>150000</v>
      </c>
      <c r="E239" s="97">
        <f t="shared" si="12"/>
        <v>150</v>
      </c>
      <c r="F239" s="96">
        <v>25000</v>
      </c>
      <c r="G239" s="97">
        <f t="shared" si="13"/>
        <v>25</v>
      </c>
      <c r="H239" s="96">
        <v>0</v>
      </c>
      <c r="I239" s="175">
        <f t="shared" si="14"/>
        <v>0</v>
      </c>
      <c r="J239" s="176">
        <f t="shared" si="15"/>
        <v>0</v>
      </c>
    </row>
    <row r="240" spans="1:10" ht="12.9" customHeight="1">
      <c r="A240" s="923"/>
      <c r="B240" s="905"/>
      <c r="C240" s="94" t="s">
        <v>1481</v>
      </c>
      <c r="D240" s="95">
        <v>1290000</v>
      </c>
      <c r="E240" s="97">
        <f t="shared" si="12"/>
        <v>1290</v>
      </c>
      <c r="F240" s="96">
        <v>1965275</v>
      </c>
      <c r="G240" s="97">
        <f t="shared" si="13"/>
        <v>1965.2750000000001</v>
      </c>
      <c r="H240" s="96">
        <v>1965275</v>
      </c>
      <c r="I240" s="175">
        <f t="shared" si="14"/>
        <v>1965.2750000000001</v>
      </c>
      <c r="J240" s="176">
        <f t="shared" si="15"/>
        <v>1</v>
      </c>
    </row>
    <row r="241" spans="1:10" ht="12.9" customHeight="1">
      <c r="A241" s="923"/>
      <c r="B241" s="905"/>
      <c r="C241" s="94" t="s">
        <v>1482</v>
      </c>
      <c r="D241" s="95">
        <v>1820000</v>
      </c>
      <c r="E241" s="97">
        <f t="shared" si="12"/>
        <v>1820</v>
      </c>
      <c r="F241" s="96">
        <v>2842610</v>
      </c>
      <c r="G241" s="97">
        <f t="shared" si="13"/>
        <v>2842.61</v>
      </c>
      <c r="H241" s="96">
        <v>2641494</v>
      </c>
      <c r="I241" s="175">
        <f t="shared" si="14"/>
        <v>2641.4940000000001</v>
      </c>
      <c r="J241" s="176">
        <f t="shared" si="15"/>
        <v>0.92924952772276181</v>
      </c>
    </row>
    <row r="242" spans="1:10" ht="12.9" customHeight="1" thickBot="1">
      <c r="A242" s="923"/>
      <c r="B242" s="906"/>
      <c r="C242" s="100" t="s">
        <v>1483</v>
      </c>
      <c r="D242" s="101">
        <v>690000</v>
      </c>
      <c r="E242" s="103">
        <f t="shared" si="12"/>
        <v>690</v>
      </c>
      <c r="F242" s="102">
        <v>290000</v>
      </c>
      <c r="G242" s="103">
        <f t="shared" si="13"/>
        <v>290</v>
      </c>
      <c r="H242" s="102">
        <v>290000</v>
      </c>
      <c r="I242" s="177">
        <f t="shared" si="14"/>
        <v>290</v>
      </c>
      <c r="J242" s="178">
        <f t="shared" si="15"/>
        <v>1</v>
      </c>
    </row>
    <row r="243" spans="1:10" ht="12.9" customHeight="1" thickBot="1">
      <c r="A243" s="923"/>
      <c r="B243" s="911" t="s">
        <v>1348</v>
      </c>
      <c r="C243" s="904"/>
      <c r="D243" s="179">
        <v>4850000</v>
      </c>
      <c r="E243" s="180">
        <f t="shared" si="12"/>
        <v>4850</v>
      </c>
      <c r="F243" s="181">
        <v>9956915</v>
      </c>
      <c r="G243" s="180">
        <f t="shared" si="13"/>
        <v>9956.9150000000009</v>
      </c>
      <c r="H243" s="181">
        <v>9177499</v>
      </c>
      <c r="I243" s="182">
        <f t="shared" si="14"/>
        <v>9177.4989999999998</v>
      </c>
      <c r="J243" s="183">
        <f t="shared" si="15"/>
        <v>0.92172113551235502</v>
      </c>
    </row>
    <row r="244" spans="1:10" ht="39.75" customHeight="1" thickBot="1">
      <c r="A244" s="923"/>
      <c r="B244" s="211" t="s">
        <v>1422</v>
      </c>
      <c r="C244" s="108" t="s">
        <v>1484</v>
      </c>
      <c r="D244" s="109">
        <v>0</v>
      </c>
      <c r="E244" s="111">
        <f t="shared" si="12"/>
        <v>0</v>
      </c>
      <c r="F244" s="110">
        <v>16600.41</v>
      </c>
      <c r="G244" s="111">
        <f t="shared" si="13"/>
        <v>16.60041</v>
      </c>
      <c r="H244" s="110">
        <v>16600.41</v>
      </c>
      <c r="I244" s="173">
        <f t="shared" si="14"/>
        <v>16.60041</v>
      </c>
      <c r="J244" s="174">
        <f t="shared" si="15"/>
        <v>1</v>
      </c>
    </row>
    <row r="245" spans="1:10" ht="12.9" customHeight="1" thickBot="1">
      <c r="A245" s="923"/>
      <c r="B245" s="911" t="s">
        <v>1425</v>
      </c>
      <c r="C245" s="904"/>
      <c r="D245" s="179">
        <v>4850000</v>
      </c>
      <c r="E245" s="180">
        <v>0</v>
      </c>
      <c r="F245" s="181">
        <v>9956915</v>
      </c>
      <c r="G245" s="180">
        <v>16.600000000000001</v>
      </c>
      <c r="H245" s="181">
        <v>9177499</v>
      </c>
      <c r="I245" s="182">
        <v>16.600000000000001</v>
      </c>
      <c r="J245" s="183">
        <v>1</v>
      </c>
    </row>
    <row r="246" spans="1:10" ht="39.75" customHeight="1" thickBot="1">
      <c r="A246" s="923"/>
      <c r="B246" s="232" t="s">
        <v>1330</v>
      </c>
      <c r="C246" s="94" t="s">
        <v>1485</v>
      </c>
      <c r="D246" s="95">
        <v>1400000</v>
      </c>
      <c r="E246" s="97">
        <f t="shared" si="12"/>
        <v>1400</v>
      </c>
      <c r="F246" s="96">
        <v>900000</v>
      </c>
      <c r="G246" s="97">
        <f t="shared" si="13"/>
        <v>900</v>
      </c>
      <c r="H246" s="96">
        <v>721325.8</v>
      </c>
      <c r="I246" s="175">
        <f t="shared" si="14"/>
        <v>721.32580000000007</v>
      </c>
      <c r="J246" s="176">
        <f t="shared" si="15"/>
        <v>0.80147311111111119</v>
      </c>
    </row>
    <row r="247" spans="1:10" ht="12.9" customHeight="1" thickBot="1">
      <c r="A247" s="923"/>
      <c r="B247" s="911" t="s">
        <v>1332</v>
      </c>
      <c r="C247" s="904"/>
      <c r="D247" s="179">
        <v>4850000</v>
      </c>
      <c r="E247" s="180">
        <v>1400</v>
      </c>
      <c r="F247" s="181">
        <v>9956915</v>
      </c>
      <c r="G247" s="180">
        <v>900</v>
      </c>
      <c r="H247" s="181">
        <v>9177499</v>
      </c>
      <c r="I247" s="182">
        <v>721.33</v>
      </c>
      <c r="J247" s="183">
        <v>0.80149999999999999</v>
      </c>
    </row>
    <row r="248" spans="1:10" ht="21" customHeight="1">
      <c r="A248" s="923"/>
      <c r="B248" s="905" t="s">
        <v>1301</v>
      </c>
      <c r="C248" s="94" t="s">
        <v>1465</v>
      </c>
      <c r="D248" s="95">
        <v>0</v>
      </c>
      <c r="E248" s="97">
        <f t="shared" si="12"/>
        <v>0</v>
      </c>
      <c r="F248" s="96">
        <v>5286880</v>
      </c>
      <c r="G248" s="97">
        <f t="shared" si="13"/>
        <v>5286.88</v>
      </c>
      <c r="H248" s="96">
        <v>4413771.4000000004</v>
      </c>
      <c r="I248" s="175">
        <f t="shared" si="14"/>
        <v>4413.7714000000005</v>
      </c>
      <c r="J248" s="176">
        <f t="shared" si="15"/>
        <v>0.83485371334321956</v>
      </c>
    </row>
    <row r="249" spans="1:10" ht="21" customHeight="1">
      <c r="A249" s="923"/>
      <c r="B249" s="905"/>
      <c r="C249" s="94" t="s">
        <v>1486</v>
      </c>
      <c r="D249" s="95">
        <v>30000</v>
      </c>
      <c r="E249" s="97">
        <f t="shared" si="12"/>
        <v>30</v>
      </c>
      <c r="F249" s="96">
        <v>63000</v>
      </c>
      <c r="G249" s="97">
        <f t="shared" si="13"/>
        <v>63</v>
      </c>
      <c r="H249" s="96">
        <v>62771.77</v>
      </c>
      <c r="I249" s="175">
        <f t="shared" si="14"/>
        <v>62.771769999999997</v>
      </c>
      <c r="J249" s="176">
        <f t="shared" si="15"/>
        <v>0.99637730158730153</v>
      </c>
    </row>
    <row r="250" spans="1:10" ht="21" customHeight="1" thickBot="1">
      <c r="A250" s="923"/>
      <c r="B250" s="906"/>
      <c r="C250" s="100" t="s">
        <v>1487</v>
      </c>
      <c r="D250" s="101">
        <v>700000</v>
      </c>
      <c r="E250" s="103">
        <f t="shared" si="12"/>
        <v>700</v>
      </c>
      <c r="F250" s="102">
        <v>700000</v>
      </c>
      <c r="G250" s="103">
        <f t="shared" si="13"/>
        <v>700</v>
      </c>
      <c r="H250" s="102">
        <v>614436</v>
      </c>
      <c r="I250" s="177">
        <f t="shared" si="14"/>
        <v>614.43600000000004</v>
      </c>
      <c r="J250" s="178">
        <f t="shared" si="15"/>
        <v>0.87776571428571426</v>
      </c>
    </row>
    <row r="251" spans="1:10" ht="12.9" customHeight="1" thickBot="1">
      <c r="A251" s="924"/>
      <c r="B251" s="928" t="s">
        <v>1304</v>
      </c>
      <c r="C251" s="929"/>
      <c r="D251" s="191">
        <v>730000</v>
      </c>
      <c r="E251" s="192">
        <f t="shared" si="12"/>
        <v>730</v>
      </c>
      <c r="F251" s="193">
        <v>6049880</v>
      </c>
      <c r="G251" s="192">
        <f t="shared" si="13"/>
        <v>6049.88</v>
      </c>
      <c r="H251" s="193">
        <v>5090979.17</v>
      </c>
      <c r="I251" s="194">
        <f t="shared" si="14"/>
        <v>5090.9791699999996</v>
      </c>
      <c r="J251" s="195">
        <f t="shared" si="15"/>
        <v>0.84150085125655383</v>
      </c>
    </row>
    <row r="252" spans="1:10" ht="12.9" customHeight="1" thickBot="1">
      <c r="A252" s="907" t="s">
        <v>1488</v>
      </c>
      <c r="B252" s="908"/>
      <c r="C252" s="908"/>
      <c r="D252" s="196">
        <v>243968000</v>
      </c>
      <c r="E252" s="197">
        <f t="shared" si="12"/>
        <v>243968</v>
      </c>
      <c r="F252" s="198">
        <v>262824711.30000001</v>
      </c>
      <c r="G252" s="197">
        <f t="shared" si="13"/>
        <v>262824.71130000002</v>
      </c>
      <c r="H252" s="198">
        <v>249164503.96000001</v>
      </c>
      <c r="I252" s="197">
        <f t="shared" si="14"/>
        <v>249164.50396</v>
      </c>
      <c r="J252" s="199">
        <f t="shared" si="15"/>
        <v>0.94802540722889783</v>
      </c>
    </row>
    <row r="253" spans="1:10" s="172" customFormat="1" ht="12" customHeight="1" thickBot="1">
      <c r="A253" s="912" t="s">
        <v>1489</v>
      </c>
      <c r="B253" s="913"/>
      <c r="C253" s="913"/>
      <c r="D253" s="913"/>
      <c r="E253" s="913"/>
      <c r="F253" s="913"/>
      <c r="G253" s="913"/>
      <c r="H253" s="913"/>
      <c r="I253" s="913"/>
      <c r="J253" s="914"/>
    </row>
    <row r="254" spans="1:10" ht="12.9" customHeight="1">
      <c r="A254" s="915" t="s">
        <v>1489</v>
      </c>
      <c r="B254" s="925" t="s">
        <v>1295</v>
      </c>
      <c r="C254" s="88" t="s">
        <v>1490</v>
      </c>
      <c r="D254" s="89">
        <v>0</v>
      </c>
      <c r="E254" s="91">
        <f t="shared" si="12"/>
        <v>0</v>
      </c>
      <c r="F254" s="90">
        <v>450</v>
      </c>
      <c r="G254" s="91">
        <f t="shared" si="13"/>
        <v>0.45</v>
      </c>
      <c r="H254" s="90">
        <v>450</v>
      </c>
      <c r="I254" s="212">
        <f t="shared" si="14"/>
        <v>0.45</v>
      </c>
      <c r="J254" s="213">
        <f t="shared" si="15"/>
        <v>1</v>
      </c>
    </row>
    <row r="255" spans="1:10" ht="12.9" customHeight="1">
      <c r="A255" s="916"/>
      <c r="B255" s="905"/>
      <c r="C255" s="94" t="s">
        <v>1296</v>
      </c>
      <c r="D255" s="95">
        <v>300000</v>
      </c>
      <c r="E255" s="97">
        <f t="shared" si="12"/>
        <v>300</v>
      </c>
      <c r="F255" s="96">
        <v>926181</v>
      </c>
      <c r="G255" s="97">
        <f t="shared" si="13"/>
        <v>926.18100000000004</v>
      </c>
      <c r="H255" s="96">
        <v>895332.76</v>
      </c>
      <c r="I255" s="175">
        <f t="shared" si="14"/>
        <v>895.33276000000001</v>
      </c>
      <c r="J255" s="176">
        <f t="shared" si="15"/>
        <v>0.96669307619137079</v>
      </c>
    </row>
    <row r="256" spans="1:10" ht="12.9" customHeight="1">
      <c r="A256" s="916"/>
      <c r="B256" s="905"/>
      <c r="C256" s="94" t="s">
        <v>1297</v>
      </c>
      <c r="D256" s="95">
        <v>10700000</v>
      </c>
      <c r="E256" s="97">
        <f t="shared" si="12"/>
        <v>10700</v>
      </c>
      <c r="F256" s="96">
        <v>14073819</v>
      </c>
      <c r="G256" s="97">
        <f t="shared" si="13"/>
        <v>14073.819</v>
      </c>
      <c r="H256" s="96">
        <v>12904096.529999999</v>
      </c>
      <c r="I256" s="175">
        <f t="shared" si="14"/>
        <v>12904.096529999999</v>
      </c>
      <c r="J256" s="176">
        <f t="shared" si="15"/>
        <v>0.91688663396907399</v>
      </c>
    </row>
    <row r="257" spans="1:10" ht="12.9" customHeight="1">
      <c r="A257" s="916"/>
      <c r="B257" s="905"/>
      <c r="C257" s="94" t="s">
        <v>1491</v>
      </c>
      <c r="D257" s="95">
        <v>12500000</v>
      </c>
      <c r="E257" s="97">
        <f t="shared" si="12"/>
        <v>12500</v>
      </c>
      <c r="F257" s="96">
        <v>11930000</v>
      </c>
      <c r="G257" s="97">
        <f t="shared" si="13"/>
        <v>11930</v>
      </c>
      <c r="H257" s="96">
        <v>11484480</v>
      </c>
      <c r="I257" s="175">
        <f t="shared" si="14"/>
        <v>11484.48</v>
      </c>
      <c r="J257" s="176">
        <f t="shared" si="15"/>
        <v>0.96265549036043585</v>
      </c>
    </row>
    <row r="258" spans="1:10" ht="12.9" customHeight="1">
      <c r="A258" s="916"/>
      <c r="B258" s="905"/>
      <c r="C258" s="94" t="s">
        <v>1298</v>
      </c>
      <c r="D258" s="95">
        <v>3080000</v>
      </c>
      <c r="E258" s="97">
        <f t="shared" si="12"/>
        <v>3080</v>
      </c>
      <c r="F258" s="96">
        <v>3080000</v>
      </c>
      <c r="G258" s="97">
        <f t="shared" si="13"/>
        <v>3080</v>
      </c>
      <c r="H258" s="96">
        <v>2439316.02</v>
      </c>
      <c r="I258" s="175">
        <f t="shared" si="14"/>
        <v>2439.3160200000002</v>
      </c>
      <c r="J258" s="176">
        <f t="shared" si="15"/>
        <v>0.7919857207792208</v>
      </c>
    </row>
    <row r="259" spans="1:10" ht="12.9" customHeight="1">
      <c r="A259" s="916"/>
      <c r="B259" s="905"/>
      <c r="C259" s="94" t="s">
        <v>1492</v>
      </c>
      <c r="D259" s="95">
        <v>600000</v>
      </c>
      <c r="E259" s="97">
        <f t="shared" si="12"/>
        <v>600</v>
      </c>
      <c r="F259" s="96">
        <v>1450000</v>
      </c>
      <c r="G259" s="97">
        <f t="shared" si="13"/>
        <v>1450</v>
      </c>
      <c r="H259" s="96">
        <v>1224390</v>
      </c>
      <c r="I259" s="175">
        <f t="shared" si="14"/>
        <v>1224.3900000000001</v>
      </c>
      <c r="J259" s="176">
        <f t="shared" si="15"/>
        <v>0.84440689655172418</v>
      </c>
    </row>
    <row r="260" spans="1:10" ht="12.9" customHeight="1">
      <c r="A260" s="916"/>
      <c r="B260" s="905"/>
      <c r="C260" s="94" t="s">
        <v>1472</v>
      </c>
      <c r="D260" s="95">
        <v>4395000</v>
      </c>
      <c r="E260" s="97">
        <f t="shared" si="12"/>
        <v>4395</v>
      </c>
      <c r="F260" s="96">
        <v>4115000</v>
      </c>
      <c r="G260" s="97">
        <f t="shared" si="13"/>
        <v>4115</v>
      </c>
      <c r="H260" s="96">
        <v>3486125</v>
      </c>
      <c r="I260" s="175">
        <f t="shared" si="14"/>
        <v>3486.125</v>
      </c>
      <c r="J260" s="176">
        <f t="shared" si="15"/>
        <v>0.84717496962332928</v>
      </c>
    </row>
    <row r="261" spans="1:10" ht="12.9" customHeight="1">
      <c r="A261" s="916"/>
      <c r="B261" s="905"/>
      <c r="C261" s="94" t="s">
        <v>1359</v>
      </c>
      <c r="D261" s="95">
        <v>0</v>
      </c>
      <c r="E261" s="97">
        <f t="shared" si="12"/>
        <v>0</v>
      </c>
      <c r="F261" s="96">
        <v>600000</v>
      </c>
      <c r="G261" s="97">
        <f t="shared" si="13"/>
        <v>600</v>
      </c>
      <c r="H261" s="96">
        <v>591716</v>
      </c>
      <c r="I261" s="175">
        <f t="shared" si="14"/>
        <v>591.71600000000001</v>
      </c>
      <c r="J261" s="176">
        <f t="shared" si="15"/>
        <v>0.98619333333333337</v>
      </c>
    </row>
    <row r="262" spans="1:10" ht="19.5" customHeight="1" thickBot="1">
      <c r="A262" s="916"/>
      <c r="B262" s="906"/>
      <c r="C262" s="100" t="s">
        <v>1476</v>
      </c>
      <c r="D262" s="101">
        <v>1100000</v>
      </c>
      <c r="E262" s="103">
        <f t="shared" si="12"/>
        <v>1100</v>
      </c>
      <c r="F262" s="102">
        <v>1100000</v>
      </c>
      <c r="G262" s="103">
        <f t="shared" si="13"/>
        <v>1100</v>
      </c>
      <c r="H262" s="102">
        <v>788615.2</v>
      </c>
      <c r="I262" s="177">
        <f t="shared" si="14"/>
        <v>788.61519999999996</v>
      </c>
      <c r="J262" s="178">
        <f t="shared" si="15"/>
        <v>0.71692290909090906</v>
      </c>
    </row>
    <row r="263" spans="1:10" ht="12.9" customHeight="1" thickBot="1">
      <c r="A263" s="917"/>
      <c r="B263" s="911" t="s">
        <v>1300</v>
      </c>
      <c r="C263" s="904"/>
      <c r="D263" s="179">
        <v>32675000</v>
      </c>
      <c r="E263" s="180">
        <f t="shared" si="12"/>
        <v>32675</v>
      </c>
      <c r="F263" s="181">
        <v>37275450</v>
      </c>
      <c r="G263" s="180">
        <f t="shared" si="13"/>
        <v>37275.449999999997</v>
      </c>
      <c r="H263" s="181">
        <v>33814521.509999998</v>
      </c>
      <c r="I263" s="182">
        <f t="shared" si="14"/>
        <v>33814.521509999999</v>
      </c>
      <c r="J263" s="183">
        <f t="shared" si="15"/>
        <v>0.90715260338909387</v>
      </c>
    </row>
    <row r="264" spans="1:10" ht="41.25" customHeight="1" thickBot="1">
      <c r="A264" s="915" t="s">
        <v>1489</v>
      </c>
      <c r="B264" s="211" t="s">
        <v>1321</v>
      </c>
      <c r="C264" s="108" t="s">
        <v>1490</v>
      </c>
      <c r="D264" s="109">
        <v>0</v>
      </c>
      <c r="E264" s="111">
        <f t="shared" si="12"/>
        <v>0</v>
      </c>
      <c r="F264" s="110">
        <v>50000</v>
      </c>
      <c r="G264" s="111">
        <f t="shared" si="13"/>
        <v>50</v>
      </c>
      <c r="H264" s="110">
        <v>50000</v>
      </c>
      <c r="I264" s="173">
        <f t="shared" si="14"/>
        <v>50</v>
      </c>
      <c r="J264" s="174">
        <f t="shared" si="15"/>
        <v>1</v>
      </c>
    </row>
    <row r="265" spans="1:10" ht="12.9" customHeight="1" thickBot="1">
      <c r="A265" s="916"/>
      <c r="B265" s="911" t="s">
        <v>1329</v>
      </c>
      <c r="C265" s="904"/>
      <c r="D265" s="179">
        <v>32675000</v>
      </c>
      <c r="E265" s="180">
        <v>0</v>
      </c>
      <c r="F265" s="181">
        <v>37275450</v>
      </c>
      <c r="G265" s="180">
        <v>50</v>
      </c>
      <c r="H265" s="181">
        <v>33814521.509999998</v>
      </c>
      <c r="I265" s="182">
        <v>50</v>
      </c>
      <c r="J265" s="183">
        <v>1</v>
      </c>
    </row>
    <row r="266" spans="1:10" ht="41.25" customHeight="1" thickBot="1">
      <c r="A266" s="916"/>
      <c r="B266" s="232" t="s">
        <v>1493</v>
      </c>
      <c r="C266" s="94" t="s">
        <v>1494</v>
      </c>
      <c r="D266" s="95">
        <v>20000</v>
      </c>
      <c r="E266" s="97">
        <f t="shared" si="12"/>
        <v>20</v>
      </c>
      <c r="F266" s="96">
        <v>20000</v>
      </c>
      <c r="G266" s="97">
        <f t="shared" si="13"/>
        <v>20</v>
      </c>
      <c r="H266" s="96">
        <v>12934.97</v>
      </c>
      <c r="I266" s="175">
        <f t="shared" si="14"/>
        <v>12.93497</v>
      </c>
      <c r="J266" s="176">
        <f t="shared" si="15"/>
        <v>0.64674849999999995</v>
      </c>
    </row>
    <row r="267" spans="1:10" ht="12.9" customHeight="1" thickBot="1">
      <c r="A267" s="916"/>
      <c r="B267" s="911" t="s">
        <v>1495</v>
      </c>
      <c r="C267" s="904"/>
      <c r="D267" s="179">
        <v>32675000</v>
      </c>
      <c r="E267" s="180">
        <v>20</v>
      </c>
      <c r="F267" s="181">
        <v>37275450</v>
      </c>
      <c r="G267" s="180">
        <v>20</v>
      </c>
      <c r="H267" s="181">
        <v>33814521.509999998</v>
      </c>
      <c r="I267" s="182">
        <v>12.93</v>
      </c>
      <c r="J267" s="183">
        <v>0.64670000000000005</v>
      </c>
    </row>
    <row r="268" spans="1:10" ht="22.5" customHeight="1">
      <c r="A268" s="916"/>
      <c r="B268" s="905" t="s">
        <v>1301</v>
      </c>
      <c r="C268" s="94" t="s">
        <v>1490</v>
      </c>
      <c r="D268" s="95">
        <v>0</v>
      </c>
      <c r="E268" s="97">
        <f t="shared" si="12"/>
        <v>0</v>
      </c>
      <c r="F268" s="96">
        <v>2099550</v>
      </c>
      <c r="G268" s="97">
        <f t="shared" si="13"/>
        <v>2099.5500000000002</v>
      </c>
      <c r="H268" s="96">
        <v>1120270</v>
      </c>
      <c r="I268" s="175">
        <f t="shared" si="14"/>
        <v>1120.27</v>
      </c>
      <c r="J268" s="176">
        <f t="shared" si="15"/>
        <v>0.53357624252816083</v>
      </c>
    </row>
    <row r="269" spans="1:10" ht="22.5" customHeight="1">
      <c r="A269" s="916"/>
      <c r="B269" s="905"/>
      <c r="C269" s="94" t="s">
        <v>1496</v>
      </c>
      <c r="D269" s="95">
        <v>0</v>
      </c>
      <c r="E269" s="97">
        <f t="shared" ref="E269:E332" si="16">D269/1000</f>
        <v>0</v>
      </c>
      <c r="F269" s="96">
        <v>1980800</v>
      </c>
      <c r="G269" s="97">
        <f t="shared" ref="G269:G332" si="17">F269/1000</f>
        <v>1980.8</v>
      </c>
      <c r="H269" s="96">
        <v>1980799</v>
      </c>
      <c r="I269" s="175">
        <f t="shared" ref="I269:I332" si="18">H269/1000</f>
        <v>1980.799</v>
      </c>
      <c r="J269" s="176">
        <f t="shared" ref="J269:J332" si="19">H269/F269</f>
        <v>0.99999949515347331</v>
      </c>
    </row>
    <row r="270" spans="1:10" ht="22.5" customHeight="1" thickBot="1">
      <c r="A270" s="916"/>
      <c r="B270" s="906"/>
      <c r="C270" s="100" t="s">
        <v>1497</v>
      </c>
      <c r="D270" s="101">
        <v>220000</v>
      </c>
      <c r="E270" s="103">
        <f t="shared" si="16"/>
        <v>220</v>
      </c>
      <c r="F270" s="102">
        <v>220000</v>
      </c>
      <c r="G270" s="103">
        <f t="shared" si="17"/>
        <v>220</v>
      </c>
      <c r="H270" s="102">
        <v>85000</v>
      </c>
      <c r="I270" s="177">
        <f t="shared" si="18"/>
        <v>85</v>
      </c>
      <c r="J270" s="178">
        <f t="shared" si="19"/>
        <v>0.38636363636363635</v>
      </c>
    </row>
    <row r="271" spans="1:10" ht="12.9" customHeight="1" thickBot="1">
      <c r="A271" s="917"/>
      <c r="B271" s="911" t="s">
        <v>1304</v>
      </c>
      <c r="C271" s="904"/>
      <c r="D271" s="179">
        <v>220000</v>
      </c>
      <c r="E271" s="180">
        <f t="shared" si="16"/>
        <v>220</v>
      </c>
      <c r="F271" s="181">
        <v>4300350</v>
      </c>
      <c r="G271" s="180">
        <f t="shared" si="17"/>
        <v>4300.3500000000004</v>
      </c>
      <c r="H271" s="181">
        <v>3186069</v>
      </c>
      <c r="I271" s="182">
        <f t="shared" si="18"/>
        <v>3186.069</v>
      </c>
      <c r="J271" s="183">
        <f t="shared" si="19"/>
        <v>0.74088597439743276</v>
      </c>
    </row>
    <row r="272" spans="1:10" ht="12.9" customHeight="1" thickBot="1">
      <c r="A272" s="926" t="s">
        <v>1498</v>
      </c>
      <c r="B272" s="927"/>
      <c r="C272" s="927"/>
      <c r="D272" s="233">
        <v>32915000</v>
      </c>
      <c r="E272" s="234">
        <f t="shared" si="16"/>
        <v>32915</v>
      </c>
      <c r="F272" s="235">
        <v>41645800</v>
      </c>
      <c r="G272" s="234">
        <f t="shared" si="17"/>
        <v>41645.800000000003</v>
      </c>
      <c r="H272" s="235">
        <v>37063525.479999997</v>
      </c>
      <c r="I272" s="234">
        <f t="shared" si="18"/>
        <v>37063.525479999997</v>
      </c>
      <c r="J272" s="236">
        <f t="shared" si="19"/>
        <v>0.88997030865057214</v>
      </c>
    </row>
    <row r="273" spans="1:10" s="172" customFormat="1" ht="12" customHeight="1" thickBot="1">
      <c r="A273" s="912" t="s">
        <v>1499</v>
      </c>
      <c r="B273" s="913"/>
      <c r="C273" s="913"/>
      <c r="D273" s="913"/>
      <c r="E273" s="913"/>
      <c r="F273" s="913"/>
      <c r="G273" s="913"/>
      <c r="H273" s="913"/>
      <c r="I273" s="913"/>
      <c r="J273" s="914"/>
    </row>
    <row r="274" spans="1:10" ht="12.9" customHeight="1">
      <c r="A274" s="922" t="s">
        <v>1499</v>
      </c>
      <c r="B274" s="925" t="s">
        <v>1295</v>
      </c>
      <c r="C274" s="88" t="s">
        <v>1500</v>
      </c>
      <c r="D274" s="89">
        <v>19000000</v>
      </c>
      <c r="E274" s="91">
        <f t="shared" si="16"/>
        <v>19000</v>
      </c>
      <c r="F274" s="90">
        <v>10459114</v>
      </c>
      <c r="G274" s="91">
        <f t="shared" si="17"/>
        <v>10459.114</v>
      </c>
      <c r="H274" s="90">
        <v>10459114</v>
      </c>
      <c r="I274" s="212">
        <f t="shared" si="18"/>
        <v>10459.114</v>
      </c>
      <c r="J274" s="213">
        <f t="shared" si="19"/>
        <v>1</v>
      </c>
    </row>
    <row r="275" spans="1:10" ht="12.9" customHeight="1">
      <c r="A275" s="923"/>
      <c r="B275" s="905"/>
      <c r="C275" s="94" t="s">
        <v>1501</v>
      </c>
      <c r="D275" s="95">
        <v>0</v>
      </c>
      <c r="E275" s="97">
        <f t="shared" si="16"/>
        <v>0</v>
      </c>
      <c r="F275" s="96">
        <v>4434882.4000000004</v>
      </c>
      <c r="G275" s="97">
        <f t="shared" si="17"/>
        <v>4434.8824000000004</v>
      </c>
      <c r="H275" s="96">
        <v>4378178.8</v>
      </c>
      <c r="I275" s="175">
        <f t="shared" si="18"/>
        <v>4378.1787999999997</v>
      </c>
      <c r="J275" s="176">
        <f t="shared" si="19"/>
        <v>0.98721418182362608</v>
      </c>
    </row>
    <row r="276" spans="1:10" ht="12.9" customHeight="1">
      <c r="A276" s="923"/>
      <c r="B276" s="905"/>
      <c r="C276" s="94" t="s">
        <v>1502</v>
      </c>
      <c r="D276" s="95">
        <v>0</v>
      </c>
      <c r="E276" s="97">
        <f t="shared" si="16"/>
        <v>0</v>
      </c>
      <c r="F276" s="96">
        <v>288008</v>
      </c>
      <c r="G276" s="97">
        <f t="shared" si="17"/>
        <v>288.00799999999998</v>
      </c>
      <c r="H276" s="96">
        <v>288008</v>
      </c>
      <c r="I276" s="175">
        <f t="shared" si="18"/>
        <v>288.00799999999998</v>
      </c>
      <c r="J276" s="176">
        <f t="shared" si="19"/>
        <v>1</v>
      </c>
    </row>
    <row r="277" spans="1:10" ht="12.9" customHeight="1">
      <c r="A277" s="923"/>
      <c r="B277" s="905"/>
      <c r="C277" s="94" t="s">
        <v>1503</v>
      </c>
      <c r="D277" s="95">
        <v>3000000</v>
      </c>
      <c r="E277" s="97">
        <f t="shared" si="16"/>
        <v>3000</v>
      </c>
      <c r="F277" s="96">
        <v>3735964.4</v>
      </c>
      <c r="G277" s="97">
        <f t="shared" si="17"/>
        <v>3735.9643999999998</v>
      </c>
      <c r="H277" s="96">
        <v>3680614</v>
      </c>
      <c r="I277" s="175">
        <f t="shared" si="18"/>
        <v>3680.614</v>
      </c>
      <c r="J277" s="176">
        <f t="shared" si="19"/>
        <v>0.98518444126501847</v>
      </c>
    </row>
    <row r="278" spans="1:10" ht="12.9" customHeight="1">
      <c r="A278" s="923"/>
      <c r="B278" s="905"/>
      <c r="C278" s="94" t="s">
        <v>1504</v>
      </c>
      <c r="D278" s="95">
        <v>50000000</v>
      </c>
      <c r="E278" s="97">
        <f t="shared" si="16"/>
        <v>50000</v>
      </c>
      <c r="F278" s="96">
        <v>5980033</v>
      </c>
      <c r="G278" s="97">
        <f t="shared" si="17"/>
        <v>5980.0330000000004</v>
      </c>
      <c r="H278" s="96">
        <v>0</v>
      </c>
      <c r="I278" s="175">
        <f t="shared" si="18"/>
        <v>0</v>
      </c>
      <c r="J278" s="176">
        <f t="shared" si="19"/>
        <v>0</v>
      </c>
    </row>
    <row r="279" spans="1:10" ht="12.9" customHeight="1">
      <c r="A279" s="923"/>
      <c r="B279" s="905"/>
      <c r="C279" s="94" t="s">
        <v>1505</v>
      </c>
      <c r="D279" s="95">
        <v>0</v>
      </c>
      <c r="E279" s="97">
        <f t="shared" si="16"/>
        <v>0</v>
      </c>
      <c r="F279" s="96">
        <v>70000000</v>
      </c>
      <c r="G279" s="97">
        <f t="shared" si="17"/>
        <v>70000</v>
      </c>
      <c r="H279" s="96">
        <v>56000000</v>
      </c>
      <c r="I279" s="175">
        <f t="shared" si="18"/>
        <v>56000</v>
      </c>
      <c r="J279" s="176">
        <f t="shared" si="19"/>
        <v>0.8</v>
      </c>
    </row>
    <row r="280" spans="1:10" ht="22.5" customHeight="1">
      <c r="A280" s="923"/>
      <c r="B280" s="905"/>
      <c r="C280" s="94" t="s">
        <v>1506</v>
      </c>
      <c r="D280" s="95">
        <v>10000</v>
      </c>
      <c r="E280" s="97">
        <f t="shared" si="16"/>
        <v>10</v>
      </c>
      <c r="F280" s="96">
        <v>10000</v>
      </c>
      <c r="G280" s="97">
        <f t="shared" si="17"/>
        <v>10</v>
      </c>
      <c r="H280" s="96">
        <v>2625</v>
      </c>
      <c r="I280" s="175">
        <f t="shared" si="18"/>
        <v>2.625</v>
      </c>
      <c r="J280" s="176">
        <f t="shared" si="19"/>
        <v>0.26250000000000001</v>
      </c>
    </row>
    <row r="281" spans="1:10" ht="23.25" customHeight="1">
      <c r="A281" s="923"/>
      <c r="B281" s="905"/>
      <c r="C281" s="94" t="s">
        <v>1507</v>
      </c>
      <c r="D281" s="95">
        <v>0</v>
      </c>
      <c r="E281" s="97">
        <f t="shared" si="16"/>
        <v>0</v>
      </c>
      <c r="F281" s="96">
        <v>2400000</v>
      </c>
      <c r="G281" s="97">
        <f t="shared" si="17"/>
        <v>2400</v>
      </c>
      <c r="H281" s="96">
        <v>2394816</v>
      </c>
      <c r="I281" s="175">
        <f t="shared" si="18"/>
        <v>2394.8159999999998</v>
      </c>
      <c r="J281" s="176">
        <f t="shared" si="19"/>
        <v>0.99783999999999995</v>
      </c>
    </row>
    <row r="282" spans="1:10" ht="12.9" customHeight="1">
      <c r="A282" s="923"/>
      <c r="B282" s="905"/>
      <c r="C282" s="94" t="s">
        <v>1508</v>
      </c>
      <c r="D282" s="95">
        <v>130000</v>
      </c>
      <c r="E282" s="97">
        <f t="shared" si="16"/>
        <v>130</v>
      </c>
      <c r="F282" s="96">
        <v>130000</v>
      </c>
      <c r="G282" s="97">
        <f t="shared" si="17"/>
        <v>130</v>
      </c>
      <c r="H282" s="96">
        <v>0</v>
      </c>
      <c r="I282" s="175">
        <f t="shared" si="18"/>
        <v>0</v>
      </c>
      <c r="J282" s="176">
        <f t="shared" si="19"/>
        <v>0</v>
      </c>
    </row>
    <row r="283" spans="1:10" ht="12.9" customHeight="1" thickBot="1">
      <c r="A283" s="923"/>
      <c r="B283" s="906"/>
      <c r="C283" s="100" t="s">
        <v>1509</v>
      </c>
      <c r="D283" s="101">
        <v>0</v>
      </c>
      <c r="E283" s="103">
        <f t="shared" si="16"/>
        <v>0</v>
      </c>
      <c r="F283" s="102">
        <v>2067704.52</v>
      </c>
      <c r="G283" s="103">
        <f t="shared" si="17"/>
        <v>2067.7045200000002</v>
      </c>
      <c r="H283" s="102">
        <v>2067704.52</v>
      </c>
      <c r="I283" s="177">
        <f t="shared" si="18"/>
        <v>2067.7045200000002</v>
      </c>
      <c r="J283" s="178">
        <f t="shared" si="19"/>
        <v>1</v>
      </c>
    </row>
    <row r="284" spans="1:10" ht="12.9" customHeight="1" thickBot="1">
      <c r="A284" s="923"/>
      <c r="B284" s="911" t="s">
        <v>1300</v>
      </c>
      <c r="C284" s="904"/>
      <c r="D284" s="179">
        <v>72140000</v>
      </c>
      <c r="E284" s="180">
        <f t="shared" si="16"/>
        <v>72140</v>
      </c>
      <c r="F284" s="181">
        <v>99505706.319999993</v>
      </c>
      <c r="G284" s="180">
        <f t="shared" si="17"/>
        <v>99505.706319999998</v>
      </c>
      <c r="H284" s="181">
        <v>79271060.319999993</v>
      </c>
      <c r="I284" s="182">
        <f t="shared" si="18"/>
        <v>79271.06031999999</v>
      </c>
      <c r="J284" s="183">
        <f t="shared" si="19"/>
        <v>0.79664838582294484</v>
      </c>
    </row>
    <row r="285" spans="1:10" ht="45.75" customHeight="1" thickBot="1">
      <c r="A285" s="923"/>
      <c r="B285" s="220" t="s">
        <v>1318</v>
      </c>
      <c r="C285" s="205" t="s">
        <v>1510</v>
      </c>
      <c r="D285" s="206">
        <v>0</v>
      </c>
      <c r="E285" s="207">
        <f t="shared" si="16"/>
        <v>0</v>
      </c>
      <c r="F285" s="208">
        <v>2000000</v>
      </c>
      <c r="G285" s="207">
        <f t="shared" si="17"/>
        <v>2000</v>
      </c>
      <c r="H285" s="208">
        <v>2000000</v>
      </c>
      <c r="I285" s="209">
        <f t="shared" si="18"/>
        <v>2000</v>
      </c>
      <c r="J285" s="210">
        <f t="shared" si="19"/>
        <v>1</v>
      </c>
    </row>
    <row r="286" spans="1:10" ht="12.9" customHeight="1" thickBot="1">
      <c r="A286" s="923"/>
      <c r="B286" s="911" t="s">
        <v>1320</v>
      </c>
      <c r="C286" s="904"/>
      <c r="D286" s="179">
        <v>0</v>
      </c>
      <c r="E286" s="180">
        <f t="shared" si="16"/>
        <v>0</v>
      </c>
      <c r="F286" s="181">
        <v>2000000</v>
      </c>
      <c r="G286" s="180">
        <f t="shared" si="17"/>
        <v>2000</v>
      </c>
      <c r="H286" s="181">
        <v>2000000</v>
      </c>
      <c r="I286" s="182">
        <f t="shared" si="18"/>
        <v>2000</v>
      </c>
      <c r="J286" s="183">
        <f t="shared" si="19"/>
        <v>1</v>
      </c>
    </row>
    <row r="287" spans="1:10" ht="23.25" customHeight="1">
      <c r="A287" s="923"/>
      <c r="B287" s="921" t="s">
        <v>1321</v>
      </c>
      <c r="C287" s="108" t="s">
        <v>1326</v>
      </c>
      <c r="D287" s="109">
        <v>205337000</v>
      </c>
      <c r="E287" s="111">
        <f t="shared" si="16"/>
        <v>205337</v>
      </c>
      <c r="F287" s="110">
        <v>251020680</v>
      </c>
      <c r="G287" s="111">
        <f t="shared" si="17"/>
        <v>251020.68</v>
      </c>
      <c r="H287" s="110">
        <v>251020680</v>
      </c>
      <c r="I287" s="173">
        <f t="shared" si="18"/>
        <v>251020.68</v>
      </c>
      <c r="J287" s="174">
        <f t="shared" si="19"/>
        <v>1</v>
      </c>
    </row>
    <row r="288" spans="1:10" ht="23.25" customHeight="1" thickBot="1">
      <c r="A288" s="923"/>
      <c r="B288" s="906"/>
      <c r="C288" s="100" t="s">
        <v>1330</v>
      </c>
      <c r="D288" s="101">
        <v>15400000</v>
      </c>
      <c r="E288" s="103">
        <f t="shared" si="16"/>
        <v>15400</v>
      </c>
      <c r="F288" s="102">
        <v>15803069</v>
      </c>
      <c r="G288" s="103">
        <f t="shared" si="17"/>
        <v>15803.069</v>
      </c>
      <c r="H288" s="102">
        <v>803069</v>
      </c>
      <c r="I288" s="177">
        <f t="shared" si="18"/>
        <v>803.06899999999996</v>
      </c>
      <c r="J288" s="178">
        <f t="shared" si="19"/>
        <v>5.0817281124318318E-2</v>
      </c>
    </row>
    <row r="289" spans="1:10" ht="12.9" customHeight="1" thickBot="1">
      <c r="A289" s="923"/>
      <c r="B289" s="911" t="s">
        <v>1329</v>
      </c>
      <c r="C289" s="904"/>
      <c r="D289" s="179">
        <v>220737000</v>
      </c>
      <c r="E289" s="180">
        <f t="shared" si="16"/>
        <v>220737</v>
      </c>
      <c r="F289" s="181">
        <v>266823749</v>
      </c>
      <c r="G289" s="180">
        <f t="shared" si="17"/>
        <v>266823.74900000001</v>
      </c>
      <c r="H289" s="181">
        <v>251823749</v>
      </c>
      <c r="I289" s="182">
        <f t="shared" si="18"/>
        <v>251823.74900000001</v>
      </c>
      <c r="J289" s="183">
        <f t="shared" si="19"/>
        <v>0.94378311504797874</v>
      </c>
    </row>
    <row r="290" spans="1:10" ht="36.75" customHeight="1" thickBot="1">
      <c r="A290" s="923"/>
      <c r="B290" s="220" t="s">
        <v>1330</v>
      </c>
      <c r="C290" s="205" t="s">
        <v>1511</v>
      </c>
      <c r="D290" s="206">
        <v>12300000</v>
      </c>
      <c r="E290" s="207">
        <f t="shared" si="16"/>
        <v>12300</v>
      </c>
      <c r="F290" s="208">
        <v>23177336</v>
      </c>
      <c r="G290" s="207">
        <f t="shared" si="17"/>
        <v>23177.335999999999</v>
      </c>
      <c r="H290" s="208">
        <v>20463259.399999999</v>
      </c>
      <c r="I290" s="209">
        <f t="shared" si="18"/>
        <v>20463.259399999999</v>
      </c>
      <c r="J290" s="210">
        <f t="shared" si="19"/>
        <v>0.88289954462411036</v>
      </c>
    </row>
    <row r="291" spans="1:10" ht="12.9" customHeight="1" thickBot="1">
      <c r="A291" s="923"/>
      <c r="B291" s="911" t="s">
        <v>1332</v>
      </c>
      <c r="C291" s="904"/>
      <c r="D291" s="179">
        <v>12300000</v>
      </c>
      <c r="E291" s="180">
        <f t="shared" si="16"/>
        <v>12300</v>
      </c>
      <c r="F291" s="181">
        <v>23177336</v>
      </c>
      <c r="G291" s="180">
        <f t="shared" si="17"/>
        <v>23177.335999999999</v>
      </c>
      <c r="H291" s="181">
        <v>20463259.399999999</v>
      </c>
      <c r="I291" s="182">
        <f t="shared" si="18"/>
        <v>20463.259399999999</v>
      </c>
      <c r="J291" s="183">
        <f t="shared" si="19"/>
        <v>0.88289954462411036</v>
      </c>
    </row>
    <row r="292" spans="1:10" ht="12.9" customHeight="1">
      <c r="A292" s="923"/>
      <c r="B292" s="921" t="s">
        <v>1301</v>
      </c>
      <c r="C292" s="108" t="s">
        <v>1512</v>
      </c>
      <c r="D292" s="109">
        <v>0</v>
      </c>
      <c r="E292" s="111">
        <f t="shared" si="16"/>
        <v>0</v>
      </c>
      <c r="F292" s="110">
        <v>610000</v>
      </c>
      <c r="G292" s="111">
        <f t="shared" si="17"/>
        <v>610</v>
      </c>
      <c r="H292" s="110">
        <v>610000</v>
      </c>
      <c r="I292" s="173">
        <f t="shared" si="18"/>
        <v>610</v>
      </c>
      <c r="J292" s="174">
        <f t="shared" si="19"/>
        <v>1</v>
      </c>
    </row>
    <row r="293" spans="1:10" ht="12.9" customHeight="1">
      <c r="A293" s="923"/>
      <c r="B293" s="905"/>
      <c r="C293" s="94" t="s">
        <v>1502</v>
      </c>
      <c r="D293" s="95">
        <v>12000000</v>
      </c>
      <c r="E293" s="97">
        <f t="shared" si="16"/>
        <v>12000</v>
      </c>
      <c r="F293" s="96">
        <v>11711992</v>
      </c>
      <c r="G293" s="97">
        <f t="shared" si="17"/>
        <v>11711.992</v>
      </c>
      <c r="H293" s="96">
        <v>7332960</v>
      </c>
      <c r="I293" s="175">
        <f t="shared" si="18"/>
        <v>7332.96</v>
      </c>
      <c r="J293" s="176">
        <f t="shared" si="19"/>
        <v>0.62610698504575479</v>
      </c>
    </row>
    <row r="294" spans="1:10" ht="12.9" customHeight="1">
      <c r="A294" s="923"/>
      <c r="B294" s="905"/>
      <c r="C294" s="94" t="s">
        <v>1359</v>
      </c>
      <c r="D294" s="95">
        <v>0</v>
      </c>
      <c r="E294" s="97">
        <f t="shared" si="16"/>
        <v>0</v>
      </c>
      <c r="F294" s="96">
        <v>21495000</v>
      </c>
      <c r="G294" s="97">
        <f t="shared" si="17"/>
        <v>21495</v>
      </c>
      <c r="H294" s="96">
        <v>1188339</v>
      </c>
      <c r="I294" s="175">
        <f t="shared" si="18"/>
        <v>1188.3389999999999</v>
      </c>
      <c r="J294" s="176">
        <f t="shared" si="19"/>
        <v>5.5284438241451503E-2</v>
      </c>
    </row>
    <row r="295" spans="1:10" ht="23.25" customHeight="1">
      <c r="A295" s="923"/>
      <c r="B295" s="905"/>
      <c r="C295" s="94" t="s">
        <v>1513</v>
      </c>
      <c r="D295" s="95">
        <v>0</v>
      </c>
      <c r="E295" s="97">
        <f t="shared" si="16"/>
        <v>0</v>
      </c>
      <c r="F295" s="96">
        <v>98541</v>
      </c>
      <c r="G295" s="97">
        <f t="shared" si="17"/>
        <v>98.540999999999997</v>
      </c>
      <c r="H295" s="96">
        <v>0</v>
      </c>
      <c r="I295" s="175">
        <f t="shared" si="18"/>
        <v>0</v>
      </c>
      <c r="J295" s="176">
        <f t="shared" si="19"/>
        <v>0</v>
      </c>
    </row>
    <row r="296" spans="1:10" ht="12.9" customHeight="1">
      <c r="A296" s="923"/>
      <c r="B296" s="905"/>
      <c r="C296" s="94" t="s">
        <v>1514</v>
      </c>
      <c r="D296" s="95">
        <v>400000</v>
      </c>
      <c r="E296" s="97">
        <f t="shared" si="16"/>
        <v>400</v>
      </c>
      <c r="F296" s="96">
        <v>400000</v>
      </c>
      <c r="G296" s="97">
        <f t="shared" si="17"/>
        <v>400</v>
      </c>
      <c r="H296" s="96">
        <v>400000</v>
      </c>
      <c r="I296" s="175">
        <f t="shared" si="18"/>
        <v>400</v>
      </c>
      <c r="J296" s="176">
        <f t="shared" si="19"/>
        <v>1</v>
      </c>
    </row>
    <row r="297" spans="1:10" ht="21.75" customHeight="1">
      <c r="A297" s="923"/>
      <c r="B297" s="905"/>
      <c r="C297" s="94" t="s">
        <v>1515</v>
      </c>
      <c r="D297" s="95">
        <v>2400000</v>
      </c>
      <c r="E297" s="97">
        <f t="shared" si="16"/>
        <v>2400</v>
      </c>
      <c r="F297" s="96">
        <v>0</v>
      </c>
      <c r="G297" s="97">
        <f t="shared" si="17"/>
        <v>0</v>
      </c>
      <c r="H297" s="96">
        <v>0</v>
      </c>
      <c r="I297" s="175">
        <f t="shared" si="18"/>
        <v>0</v>
      </c>
      <c r="J297" s="189" t="s">
        <v>1147</v>
      </c>
    </row>
    <row r="298" spans="1:10" ht="12.9" customHeight="1" thickBot="1">
      <c r="A298" s="923"/>
      <c r="B298" s="906"/>
      <c r="C298" s="100" t="s">
        <v>1516</v>
      </c>
      <c r="D298" s="101">
        <v>0</v>
      </c>
      <c r="E298" s="103">
        <f t="shared" si="16"/>
        <v>0</v>
      </c>
      <c r="F298" s="102">
        <v>174083.41</v>
      </c>
      <c r="G298" s="103">
        <f t="shared" si="17"/>
        <v>174.08341000000001</v>
      </c>
      <c r="H298" s="102">
        <v>142483.96</v>
      </c>
      <c r="I298" s="177">
        <f t="shared" si="18"/>
        <v>142.48396</v>
      </c>
      <c r="J298" s="178">
        <f t="shared" si="19"/>
        <v>0.81848097989348889</v>
      </c>
    </row>
    <row r="299" spans="1:10" ht="12.9" customHeight="1" thickBot="1">
      <c r="A299" s="924"/>
      <c r="B299" s="911" t="s">
        <v>1304</v>
      </c>
      <c r="C299" s="904"/>
      <c r="D299" s="179">
        <v>14800000</v>
      </c>
      <c r="E299" s="180">
        <f t="shared" si="16"/>
        <v>14800</v>
      </c>
      <c r="F299" s="181">
        <v>34489616.409999996</v>
      </c>
      <c r="G299" s="180">
        <f t="shared" si="17"/>
        <v>34489.616409999995</v>
      </c>
      <c r="H299" s="181">
        <v>9673782.9600000009</v>
      </c>
      <c r="I299" s="182">
        <f t="shared" si="18"/>
        <v>9673.7829600000005</v>
      </c>
      <c r="J299" s="183">
        <f t="shared" si="19"/>
        <v>0.28048392434991426</v>
      </c>
    </row>
    <row r="300" spans="1:10" ht="12.9" customHeight="1" thickBot="1">
      <c r="A300" s="907" t="s">
        <v>1517</v>
      </c>
      <c r="B300" s="908"/>
      <c r="C300" s="908"/>
      <c r="D300" s="196">
        <v>319977000</v>
      </c>
      <c r="E300" s="197">
        <f t="shared" si="16"/>
        <v>319977</v>
      </c>
      <c r="F300" s="198">
        <v>425996407.73000002</v>
      </c>
      <c r="G300" s="197">
        <f t="shared" si="17"/>
        <v>425996.40773000004</v>
      </c>
      <c r="H300" s="198">
        <v>363231851.68000001</v>
      </c>
      <c r="I300" s="197">
        <f t="shared" si="18"/>
        <v>363231.85168000002</v>
      </c>
      <c r="J300" s="199">
        <f t="shared" si="19"/>
        <v>0.85266411896651317</v>
      </c>
    </row>
    <row r="301" spans="1:10" ht="12.9" customHeight="1">
      <c r="A301" s="200"/>
      <c r="B301" s="200"/>
      <c r="C301" s="200"/>
      <c r="D301" s="201"/>
      <c r="E301" s="202"/>
      <c r="F301" s="203"/>
      <c r="G301" s="202"/>
      <c r="H301" s="203"/>
      <c r="I301" s="202"/>
      <c r="J301" s="204"/>
    </row>
    <row r="302" spans="1:10" ht="12.9" customHeight="1">
      <c r="A302" s="200"/>
      <c r="B302" s="200"/>
      <c r="C302" s="200"/>
      <c r="D302" s="201"/>
      <c r="E302" s="202"/>
      <c r="F302" s="203"/>
      <c r="G302" s="202"/>
      <c r="H302" s="203"/>
      <c r="I302" s="202"/>
      <c r="J302" s="204"/>
    </row>
    <row r="303" spans="1:10" ht="12.9" customHeight="1">
      <c r="A303" s="200"/>
      <c r="B303" s="200"/>
      <c r="C303" s="200"/>
      <c r="D303" s="201"/>
      <c r="E303" s="202"/>
      <c r="F303" s="203"/>
      <c r="G303" s="202"/>
      <c r="H303" s="203"/>
      <c r="I303" s="202"/>
      <c r="J303" s="204"/>
    </row>
    <row r="304" spans="1:10" ht="12.9" customHeight="1" thickBot="1">
      <c r="A304" s="200"/>
      <c r="B304" s="200"/>
      <c r="C304" s="200"/>
      <c r="D304" s="201"/>
      <c r="E304" s="202"/>
      <c r="F304" s="203"/>
      <c r="G304" s="202"/>
      <c r="H304" s="203"/>
      <c r="I304" s="202"/>
      <c r="J304" s="204"/>
    </row>
    <row r="305" spans="1:10" s="172" customFormat="1" ht="12" customHeight="1" thickBot="1">
      <c r="A305" s="912" t="s">
        <v>1518</v>
      </c>
      <c r="B305" s="913"/>
      <c r="C305" s="913"/>
      <c r="D305" s="913"/>
      <c r="E305" s="913"/>
      <c r="F305" s="913"/>
      <c r="G305" s="913"/>
      <c r="H305" s="913"/>
      <c r="I305" s="913"/>
      <c r="J305" s="914"/>
    </row>
    <row r="306" spans="1:10" ht="12.9" customHeight="1">
      <c r="A306" s="922" t="s">
        <v>1518</v>
      </c>
      <c r="B306" s="918" t="s">
        <v>1295</v>
      </c>
      <c r="C306" s="108" t="s">
        <v>1519</v>
      </c>
      <c r="D306" s="109">
        <v>0</v>
      </c>
      <c r="E306" s="111">
        <f t="shared" si="16"/>
        <v>0</v>
      </c>
      <c r="F306" s="110">
        <v>411119.47</v>
      </c>
      <c r="G306" s="111">
        <f t="shared" si="17"/>
        <v>411.11946999999998</v>
      </c>
      <c r="H306" s="110">
        <v>123109</v>
      </c>
      <c r="I306" s="173">
        <f t="shared" si="18"/>
        <v>123.10899999999999</v>
      </c>
      <c r="J306" s="174">
        <f t="shared" si="19"/>
        <v>0.29944823581330265</v>
      </c>
    </row>
    <row r="307" spans="1:10" ht="12.9" customHeight="1">
      <c r="A307" s="923"/>
      <c r="B307" s="919"/>
      <c r="C307" s="94" t="s">
        <v>1520</v>
      </c>
      <c r="D307" s="95">
        <v>0</v>
      </c>
      <c r="E307" s="97">
        <f t="shared" si="16"/>
        <v>0</v>
      </c>
      <c r="F307" s="96">
        <v>3029026.76</v>
      </c>
      <c r="G307" s="97">
        <f t="shared" si="17"/>
        <v>3029.0267599999997</v>
      </c>
      <c r="H307" s="96">
        <v>1304095.94</v>
      </c>
      <c r="I307" s="175">
        <f t="shared" si="18"/>
        <v>1304.0959399999999</v>
      </c>
      <c r="J307" s="176">
        <f t="shared" si="19"/>
        <v>0.43053298743389118</v>
      </c>
    </row>
    <row r="308" spans="1:10" ht="21" customHeight="1">
      <c r="A308" s="923"/>
      <c r="B308" s="919"/>
      <c r="C308" s="94" t="s">
        <v>1521</v>
      </c>
      <c r="D308" s="95">
        <v>8400000</v>
      </c>
      <c r="E308" s="97">
        <f t="shared" si="16"/>
        <v>8400</v>
      </c>
      <c r="F308" s="96">
        <v>7683</v>
      </c>
      <c r="G308" s="97">
        <f t="shared" si="17"/>
        <v>7.6829999999999998</v>
      </c>
      <c r="H308" s="96">
        <v>0</v>
      </c>
      <c r="I308" s="175">
        <f t="shared" si="18"/>
        <v>0</v>
      </c>
      <c r="J308" s="176">
        <f t="shared" si="19"/>
        <v>0</v>
      </c>
    </row>
    <row r="309" spans="1:10" ht="12.9" customHeight="1">
      <c r="A309" s="923"/>
      <c r="B309" s="919"/>
      <c r="C309" s="94" t="s">
        <v>1522</v>
      </c>
      <c r="D309" s="95">
        <v>0</v>
      </c>
      <c r="E309" s="97">
        <f t="shared" si="16"/>
        <v>0</v>
      </c>
      <c r="F309" s="96">
        <v>6095367.1699999999</v>
      </c>
      <c r="G309" s="97">
        <f t="shared" si="17"/>
        <v>6095.3671699999995</v>
      </c>
      <c r="H309" s="96">
        <v>3890352</v>
      </c>
      <c r="I309" s="175">
        <f t="shared" si="18"/>
        <v>3890.3519999999999</v>
      </c>
      <c r="J309" s="176">
        <f t="shared" si="19"/>
        <v>0.63824735926449527</v>
      </c>
    </row>
    <row r="310" spans="1:10" ht="12.9" customHeight="1">
      <c r="A310" s="923"/>
      <c r="B310" s="919"/>
      <c r="C310" s="94" t="s">
        <v>1523</v>
      </c>
      <c r="D310" s="95">
        <v>0</v>
      </c>
      <c r="E310" s="97">
        <f t="shared" si="16"/>
        <v>0</v>
      </c>
      <c r="F310" s="96">
        <v>93050</v>
      </c>
      <c r="G310" s="97">
        <f t="shared" si="17"/>
        <v>93.05</v>
      </c>
      <c r="H310" s="96">
        <v>93050</v>
      </c>
      <c r="I310" s="175">
        <f t="shared" si="18"/>
        <v>93.05</v>
      </c>
      <c r="J310" s="176">
        <f t="shared" si="19"/>
        <v>1</v>
      </c>
    </row>
    <row r="311" spans="1:10" ht="12.9" customHeight="1">
      <c r="A311" s="923"/>
      <c r="B311" s="919"/>
      <c r="C311" s="94" t="s">
        <v>1524</v>
      </c>
      <c r="D311" s="95">
        <v>0</v>
      </c>
      <c r="E311" s="97">
        <f t="shared" si="16"/>
        <v>0</v>
      </c>
      <c r="F311" s="96">
        <v>150000</v>
      </c>
      <c r="G311" s="97">
        <f t="shared" si="17"/>
        <v>150</v>
      </c>
      <c r="H311" s="96">
        <v>85547</v>
      </c>
      <c r="I311" s="175">
        <f t="shared" si="18"/>
        <v>85.546999999999997</v>
      </c>
      <c r="J311" s="176">
        <f t="shared" si="19"/>
        <v>0.57031333333333334</v>
      </c>
    </row>
    <row r="312" spans="1:10" ht="12.9" customHeight="1" thickBot="1">
      <c r="A312" s="923"/>
      <c r="B312" s="921"/>
      <c r="C312" s="94" t="s">
        <v>1525</v>
      </c>
      <c r="D312" s="95">
        <v>764000</v>
      </c>
      <c r="E312" s="97">
        <f t="shared" si="16"/>
        <v>764</v>
      </c>
      <c r="F312" s="96">
        <v>734000</v>
      </c>
      <c r="G312" s="97">
        <f t="shared" si="17"/>
        <v>734</v>
      </c>
      <c r="H312" s="96">
        <v>698493</v>
      </c>
      <c r="I312" s="175">
        <f t="shared" si="18"/>
        <v>698.49300000000005</v>
      </c>
      <c r="J312" s="176">
        <f t="shared" si="19"/>
        <v>0.95162534059945503</v>
      </c>
    </row>
    <row r="313" spans="1:10" ht="12.9" customHeight="1" thickBot="1">
      <c r="A313" s="923"/>
      <c r="B313" s="911" t="s">
        <v>1300</v>
      </c>
      <c r="C313" s="904"/>
      <c r="D313" s="179">
        <v>72140000</v>
      </c>
      <c r="E313" s="180">
        <f>SUM(E306:E312)</f>
        <v>9164</v>
      </c>
      <c r="F313" s="181">
        <v>99505706.319999993</v>
      </c>
      <c r="G313" s="180">
        <f>SUM(G306:G312)</f>
        <v>10520.246399999998</v>
      </c>
      <c r="H313" s="181">
        <v>79271060.319999993</v>
      </c>
      <c r="I313" s="182">
        <f>SUM(I306:I312)</f>
        <v>6194.6469399999996</v>
      </c>
      <c r="J313" s="183">
        <f>I313/G313</f>
        <v>0.5888309745292658</v>
      </c>
    </row>
    <row r="314" spans="1:10" ht="31.5" customHeight="1" thickBot="1">
      <c r="A314" s="923"/>
      <c r="B314" s="232" t="s">
        <v>1526</v>
      </c>
      <c r="C314" s="94" t="s">
        <v>1527</v>
      </c>
      <c r="D314" s="95">
        <v>0</v>
      </c>
      <c r="E314" s="97">
        <f t="shared" si="16"/>
        <v>0</v>
      </c>
      <c r="F314" s="96">
        <v>11753082</v>
      </c>
      <c r="G314" s="97">
        <f t="shared" si="17"/>
        <v>11753.082</v>
      </c>
      <c r="H314" s="96">
        <v>0</v>
      </c>
      <c r="I314" s="175">
        <f t="shared" si="18"/>
        <v>0</v>
      </c>
      <c r="J314" s="176">
        <f t="shared" si="19"/>
        <v>0</v>
      </c>
    </row>
    <row r="315" spans="1:10" ht="12.9" customHeight="1" thickBot="1">
      <c r="A315" s="923"/>
      <c r="B315" s="911" t="s">
        <v>1368</v>
      </c>
      <c r="C315" s="904"/>
      <c r="D315" s="179">
        <v>72140000</v>
      </c>
      <c r="E315" s="180">
        <v>0</v>
      </c>
      <c r="F315" s="181">
        <v>99505706.319999993</v>
      </c>
      <c r="G315" s="180">
        <v>11753.08</v>
      </c>
      <c r="H315" s="181">
        <v>79271060.319999993</v>
      </c>
      <c r="I315" s="182">
        <v>0</v>
      </c>
      <c r="J315" s="183">
        <f>I315/G315</f>
        <v>0</v>
      </c>
    </row>
    <row r="316" spans="1:10" ht="33" customHeight="1" thickBot="1">
      <c r="A316" s="923"/>
      <c r="B316" s="237" t="s">
        <v>1528</v>
      </c>
      <c r="C316" s="100" t="s">
        <v>1527</v>
      </c>
      <c r="D316" s="101">
        <v>0</v>
      </c>
      <c r="E316" s="103">
        <f t="shared" si="16"/>
        <v>0</v>
      </c>
      <c r="F316" s="102">
        <v>69520237.420000002</v>
      </c>
      <c r="G316" s="103">
        <f t="shared" si="17"/>
        <v>69520.237420000005</v>
      </c>
      <c r="H316" s="102">
        <v>0</v>
      </c>
      <c r="I316" s="177">
        <f t="shared" si="18"/>
        <v>0</v>
      </c>
      <c r="J316" s="178">
        <f t="shared" si="19"/>
        <v>0</v>
      </c>
    </row>
    <row r="317" spans="1:10" ht="12.9" customHeight="1" thickBot="1">
      <c r="A317" s="923"/>
      <c r="B317" s="911" t="s">
        <v>1425</v>
      </c>
      <c r="C317" s="904"/>
      <c r="D317" s="179">
        <v>0</v>
      </c>
      <c r="E317" s="180">
        <f t="shared" si="16"/>
        <v>0</v>
      </c>
      <c r="F317" s="181">
        <v>69520237.420000002</v>
      </c>
      <c r="G317" s="180">
        <f t="shared" si="17"/>
        <v>69520.237420000005</v>
      </c>
      <c r="H317" s="181">
        <v>0</v>
      </c>
      <c r="I317" s="182">
        <f t="shared" si="18"/>
        <v>0</v>
      </c>
      <c r="J317" s="183">
        <f t="shared" si="19"/>
        <v>0</v>
      </c>
    </row>
    <row r="318" spans="1:10" ht="12.9" customHeight="1">
      <c r="A318" s="923"/>
      <c r="B318" s="918" t="s">
        <v>1321</v>
      </c>
      <c r="C318" s="108" t="s">
        <v>1529</v>
      </c>
      <c r="D318" s="109">
        <v>0</v>
      </c>
      <c r="E318" s="111">
        <f t="shared" si="16"/>
        <v>0</v>
      </c>
      <c r="F318" s="110">
        <v>970000</v>
      </c>
      <c r="G318" s="111">
        <f t="shared" si="17"/>
        <v>970</v>
      </c>
      <c r="H318" s="110">
        <v>913500</v>
      </c>
      <c r="I318" s="173">
        <f t="shared" si="18"/>
        <v>913.5</v>
      </c>
      <c r="J318" s="174">
        <f t="shared" si="19"/>
        <v>0.94175257731958761</v>
      </c>
    </row>
    <row r="319" spans="1:10" ht="12.9" customHeight="1">
      <c r="A319" s="923"/>
      <c r="B319" s="919"/>
      <c r="C319" s="94" t="s">
        <v>1530</v>
      </c>
      <c r="D319" s="95">
        <v>0</v>
      </c>
      <c r="E319" s="97">
        <f t="shared" si="16"/>
        <v>0</v>
      </c>
      <c r="F319" s="96">
        <v>1633014796.04</v>
      </c>
      <c r="G319" s="97">
        <f t="shared" si="17"/>
        <v>1633014.7960399999</v>
      </c>
      <c r="H319" s="96">
        <v>1633008337.04</v>
      </c>
      <c r="I319" s="175">
        <f t="shared" si="18"/>
        <v>1633008.3370399999</v>
      </c>
      <c r="J319" s="176">
        <f t="shared" si="19"/>
        <v>0.99999604473883785</v>
      </c>
    </row>
    <row r="320" spans="1:10" ht="12.9" customHeight="1">
      <c r="A320" s="923"/>
      <c r="B320" s="919"/>
      <c r="C320" s="94" t="s">
        <v>1326</v>
      </c>
      <c r="D320" s="95">
        <v>299154000</v>
      </c>
      <c r="E320" s="97">
        <f t="shared" si="16"/>
        <v>299154</v>
      </c>
      <c r="F320" s="96">
        <v>328252453</v>
      </c>
      <c r="G320" s="97">
        <f t="shared" si="17"/>
        <v>328252.45299999998</v>
      </c>
      <c r="H320" s="96">
        <v>328252453</v>
      </c>
      <c r="I320" s="175">
        <f t="shared" si="18"/>
        <v>328252.45299999998</v>
      </c>
      <c r="J320" s="176">
        <f t="shared" si="19"/>
        <v>1</v>
      </c>
    </row>
    <row r="321" spans="1:10" ht="12.9" customHeight="1">
      <c r="A321" s="923"/>
      <c r="B321" s="919"/>
      <c r="C321" s="94" t="s">
        <v>1359</v>
      </c>
      <c r="D321" s="95">
        <v>0</v>
      </c>
      <c r="E321" s="97">
        <f t="shared" si="16"/>
        <v>0</v>
      </c>
      <c r="F321" s="96">
        <v>74780783.450000003</v>
      </c>
      <c r="G321" s="97">
        <f t="shared" si="17"/>
        <v>74780.783450000003</v>
      </c>
      <c r="H321" s="96">
        <v>74366588.159999996</v>
      </c>
      <c r="I321" s="175">
        <f t="shared" si="18"/>
        <v>74366.588159999999</v>
      </c>
      <c r="J321" s="176">
        <f t="shared" si="19"/>
        <v>0.99446120686503714</v>
      </c>
    </row>
    <row r="322" spans="1:10" ht="12.9" customHeight="1">
      <c r="A322" s="923"/>
      <c r="B322" s="919"/>
      <c r="C322" s="94" t="s">
        <v>1330</v>
      </c>
      <c r="D322" s="95">
        <v>47350000</v>
      </c>
      <c r="E322" s="97">
        <f t="shared" si="16"/>
        <v>47350</v>
      </c>
      <c r="F322" s="96">
        <v>79384496</v>
      </c>
      <c r="G322" s="97">
        <f t="shared" si="17"/>
        <v>79384.495999999999</v>
      </c>
      <c r="H322" s="96">
        <v>69294774</v>
      </c>
      <c r="I322" s="175">
        <f t="shared" si="18"/>
        <v>69294.774000000005</v>
      </c>
      <c r="J322" s="176">
        <f t="shared" si="19"/>
        <v>0.87290059761795302</v>
      </c>
    </row>
    <row r="323" spans="1:10" ht="12.9" customHeight="1">
      <c r="A323" s="923"/>
      <c r="B323" s="919"/>
      <c r="C323" s="94" t="s">
        <v>1328</v>
      </c>
      <c r="D323" s="95">
        <v>3120000</v>
      </c>
      <c r="E323" s="97">
        <f t="shared" si="16"/>
        <v>3120</v>
      </c>
      <c r="F323" s="96">
        <v>9086324</v>
      </c>
      <c r="G323" s="97">
        <f t="shared" si="17"/>
        <v>9086.3240000000005</v>
      </c>
      <c r="H323" s="96">
        <v>8203219</v>
      </c>
      <c r="I323" s="175">
        <f t="shared" si="18"/>
        <v>8203.2189999999991</v>
      </c>
      <c r="J323" s="176">
        <f t="shared" si="19"/>
        <v>0.90280943096460131</v>
      </c>
    </row>
    <row r="324" spans="1:10" ht="12.9" customHeight="1">
      <c r="A324" s="923"/>
      <c r="B324" s="919"/>
      <c r="C324" s="94" t="s">
        <v>1531</v>
      </c>
      <c r="D324" s="95">
        <v>0</v>
      </c>
      <c r="E324" s="97">
        <f t="shared" si="16"/>
        <v>0</v>
      </c>
      <c r="F324" s="96">
        <v>100000</v>
      </c>
      <c r="G324" s="97">
        <f t="shared" si="17"/>
        <v>100</v>
      </c>
      <c r="H324" s="96">
        <v>100000</v>
      </c>
      <c r="I324" s="175">
        <f t="shared" si="18"/>
        <v>100</v>
      </c>
      <c r="J324" s="176">
        <f t="shared" si="19"/>
        <v>1</v>
      </c>
    </row>
    <row r="325" spans="1:10" ht="12.9" customHeight="1">
      <c r="A325" s="923"/>
      <c r="B325" s="919"/>
      <c r="C325" s="94" t="s">
        <v>1532</v>
      </c>
      <c r="D325" s="95">
        <v>0</v>
      </c>
      <c r="E325" s="97">
        <f t="shared" si="16"/>
        <v>0</v>
      </c>
      <c r="F325" s="96">
        <v>198000</v>
      </c>
      <c r="G325" s="97">
        <f t="shared" si="17"/>
        <v>198</v>
      </c>
      <c r="H325" s="96">
        <v>198000</v>
      </c>
      <c r="I325" s="175">
        <f t="shared" si="18"/>
        <v>198</v>
      </c>
      <c r="J325" s="176">
        <f t="shared" si="19"/>
        <v>1</v>
      </c>
    </row>
    <row r="326" spans="1:10" ht="12.9" customHeight="1">
      <c r="A326" s="923"/>
      <c r="B326" s="919"/>
      <c r="C326" s="94" t="s">
        <v>1533</v>
      </c>
      <c r="D326" s="95">
        <v>0</v>
      </c>
      <c r="E326" s="97">
        <f t="shared" si="16"/>
        <v>0</v>
      </c>
      <c r="F326" s="96">
        <v>50000</v>
      </c>
      <c r="G326" s="97">
        <f t="shared" si="17"/>
        <v>50</v>
      </c>
      <c r="H326" s="96">
        <v>50000</v>
      </c>
      <c r="I326" s="175">
        <f t="shared" si="18"/>
        <v>50</v>
      </c>
      <c r="J326" s="176">
        <f t="shared" si="19"/>
        <v>1</v>
      </c>
    </row>
    <row r="327" spans="1:10" ht="24" customHeight="1">
      <c r="A327" s="923"/>
      <c r="B327" s="919"/>
      <c r="C327" s="94" t="s">
        <v>1534</v>
      </c>
      <c r="D327" s="95">
        <v>0</v>
      </c>
      <c r="E327" s="97">
        <f t="shared" si="16"/>
        <v>0</v>
      </c>
      <c r="F327" s="96">
        <v>560000</v>
      </c>
      <c r="G327" s="97">
        <f t="shared" si="17"/>
        <v>560</v>
      </c>
      <c r="H327" s="96">
        <v>556800</v>
      </c>
      <c r="I327" s="175">
        <f t="shared" si="18"/>
        <v>556.79999999999995</v>
      </c>
      <c r="J327" s="176">
        <f t="shared" si="19"/>
        <v>0.99428571428571433</v>
      </c>
    </row>
    <row r="328" spans="1:10" ht="22.5" customHeight="1">
      <c r="A328" s="923"/>
      <c r="B328" s="919"/>
      <c r="C328" s="94" t="s">
        <v>1535</v>
      </c>
      <c r="D328" s="95">
        <v>800000</v>
      </c>
      <c r="E328" s="97">
        <f t="shared" si="16"/>
        <v>800</v>
      </c>
      <c r="F328" s="96">
        <v>800000</v>
      </c>
      <c r="G328" s="97">
        <f t="shared" si="17"/>
        <v>800</v>
      </c>
      <c r="H328" s="96">
        <v>800000</v>
      </c>
      <c r="I328" s="175">
        <f t="shared" si="18"/>
        <v>800</v>
      </c>
      <c r="J328" s="176">
        <f t="shared" si="19"/>
        <v>1</v>
      </c>
    </row>
    <row r="329" spans="1:10" ht="12.9" customHeight="1" thickBot="1">
      <c r="A329" s="923"/>
      <c r="B329" s="919"/>
      <c r="C329" s="100" t="s">
        <v>1536</v>
      </c>
      <c r="D329" s="101">
        <v>0</v>
      </c>
      <c r="E329" s="103">
        <f t="shared" si="16"/>
        <v>0</v>
      </c>
      <c r="F329" s="102">
        <v>500000</v>
      </c>
      <c r="G329" s="103">
        <f t="shared" si="17"/>
        <v>500</v>
      </c>
      <c r="H329" s="102">
        <v>500000</v>
      </c>
      <c r="I329" s="177">
        <f t="shared" si="18"/>
        <v>500</v>
      </c>
      <c r="J329" s="178">
        <f t="shared" si="19"/>
        <v>1</v>
      </c>
    </row>
    <row r="330" spans="1:10" ht="12.9" customHeight="1" thickBot="1">
      <c r="A330" s="923"/>
      <c r="B330" s="911" t="s">
        <v>1329</v>
      </c>
      <c r="C330" s="904"/>
      <c r="D330" s="179">
        <v>800000</v>
      </c>
      <c r="E330" s="180">
        <f>SUM(E318:E329)</f>
        <v>350424</v>
      </c>
      <c r="F330" s="181">
        <v>2208000</v>
      </c>
      <c r="G330" s="180">
        <f>SUM(G318:G329)</f>
        <v>2127696.85249</v>
      </c>
      <c r="H330" s="181">
        <v>2204800</v>
      </c>
      <c r="I330" s="182">
        <f>SUM(I318:I329)</f>
        <v>2116243.6711999997</v>
      </c>
      <c r="J330" s="183">
        <f>I330/G330</f>
        <v>0.99461709910573171</v>
      </c>
    </row>
    <row r="331" spans="1:10" ht="21" customHeight="1">
      <c r="A331" s="923"/>
      <c r="B331" s="918" t="s">
        <v>1537</v>
      </c>
      <c r="C331" s="108" t="s">
        <v>1538</v>
      </c>
      <c r="D331" s="109">
        <v>0</v>
      </c>
      <c r="E331" s="111">
        <f t="shared" si="16"/>
        <v>0</v>
      </c>
      <c r="F331" s="110">
        <v>11346887.48</v>
      </c>
      <c r="G331" s="111">
        <f t="shared" si="17"/>
        <v>11346.887480000001</v>
      </c>
      <c r="H331" s="110">
        <v>11346887.48</v>
      </c>
      <c r="I331" s="173">
        <f t="shared" si="18"/>
        <v>11346.887480000001</v>
      </c>
      <c r="J331" s="174">
        <f t="shared" si="19"/>
        <v>1</v>
      </c>
    </row>
    <row r="332" spans="1:10" ht="12.9" customHeight="1">
      <c r="A332" s="923"/>
      <c r="B332" s="919"/>
      <c r="C332" s="94" t="s">
        <v>1527</v>
      </c>
      <c r="D332" s="95">
        <v>0</v>
      </c>
      <c r="E332" s="97">
        <f t="shared" si="16"/>
        <v>0</v>
      </c>
      <c r="F332" s="96">
        <v>27256204.699999999</v>
      </c>
      <c r="G332" s="97">
        <f t="shared" si="17"/>
        <v>27256.204699999998</v>
      </c>
      <c r="H332" s="96">
        <v>27256204.699999999</v>
      </c>
      <c r="I332" s="175">
        <f t="shared" si="18"/>
        <v>27256.204699999998</v>
      </c>
      <c r="J332" s="176">
        <f t="shared" si="19"/>
        <v>1</v>
      </c>
    </row>
    <row r="333" spans="1:10" ht="12.75" customHeight="1">
      <c r="A333" s="923"/>
      <c r="B333" s="919"/>
      <c r="C333" s="94" t="s">
        <v>1539</v>
      </c>
      <c r="D333" s="95">
        <v>0</v>
      </c>
      <c r="E333" s="97">
        <f t="shared" ref="E333:E386" si="20">D333/1000</f>
        <v>0</v>
      </c>
      <c r="F333" s="96">
        <v>94623184</v>
      </c>
      <c r="G333" s="97">
        <f t="shared" ref="G333:G386" si="21">F333/1000</f>
        <v>94623.183999999994</v>
      </c>
      <c r="H333" s="96">
        <v>94472197</v>
      </c>
      <c r="I333" s="175">
        <f t="shared" ref="I333:I386" si="22">H333/1000</f>
        <v>94472.197</v>
      </c>
      <c r="J333" s="176">
        <f t="shared" ref="J333:J386" si="23">H333/F333</f>
        <v>0.99840433397379658</v>
      </c>
    </row>
    <row r="334" spans="1:10" ht="12.9" customHeight="1">
      <c r="A334" s="923"/>
      <c r="B334" s="919"/>
      <c r="C334" s="94" t="s">
        <v>1540</v>
      </c>
      <c r="D334" s="95">
        <v>0</v>
      </c>
      <c r="E334" s="97">
        <f t="shared" si="20"/>
        <v>0</v>
      </c>
      <c r="F334" s="96">
        <v>20226692.93</v>
      </c>
      <c r="G334" s="97">
        <f t="shared" si="21"/>
        <v>20226.692930000001</v>
      </c>
      <c r="H334" s="96">
        <v>20226692.93</v>
      </c>
      <c r="I334" s="175">
        <f t="shared" si="22"/>
        <v>20226.692930000001</v>
      </c>
      <c r="J334" s="176">
        <f t="shared" si="23"/>
        <v>1</v>
      </c>
    </row>
    <row r="335" spans="1:10" ht="12.9" customHeight="1">
      <c r="A335" s="923"/>
      <c r="B335" s="919"/>
      <c r="C335" s="94" t="s">
        <v>1541</v>
      </c>
      <c r="D335" s="95">
        <v>0</v>
      </c>
      <c r="E335" s="97">
        <f t="shared" si="20"/>
        <v>0</v>
      </c>
      <c r="F335" s="96">
        <v>2380445363</v>
      </c>
      <c r="G335" s="97">
        <f t="shared" si="21"/>
        <v>2380445.3629999999</v>
      </c>
      <c r="H335" s="96">
        <v>2380439824.5</v>
      </c>
      <c r="I335" s="175">
        <f t="shared" si="22"/>
        <v>2380439.8245000001</v>
      </c>
      <c r="J335" s="176">
        <f t="shared" si="23"/>
        <v>0.99999767333454237</v>
      </c>
    </row>
    <row r="336" spans="1:10" ht="12.9" customHeight="1">
      <c r="A336" s="923"/>
      <c r="B336" s="919"/>
      <c r="C336" s="94" t="s">
        <v>1531</v>
      </c>
      <c r="D336" s="95">
        <v>0</v>
      </c>
      <c r="E336" s="97">
        <f t="shared" si="20"/>
        <v>0</v>
      </c>
      <c r="F336" s="96">
        <v>500000</v>
      </c>
      <c r="G336" s="97">
        <f t="shared" si="21"/>
        <v>500</v>
      </c>
      <c r="H336" s="96">
        <v>450000</v>
      </c>
      <c r="I336" s="175">
        <f t="shared" si="22"/>
        <v>450</v>
      </c>
      <c r="J336" s="176">
        <f t="shared" si="23"/>
        <v>0.9</v>
      </c>
    </row>
    <row r="337" spans="1:10" ht="12.9" customHeight="1">
      <c r="A337" s="923"/>
      <c r="B337" s="919"/>
      <c r="C337" s="94" t="s">
        <v>1529</v>
      </c>
      <c r="D337" s="95">
        <v>0</v>
      </c>
      <c r="E337" s="97">
        <f t="shared" si="20"/>
        <v>0</v>
      </c>
      <c r="F337" s="96">
        <v>30000</v>
      </c>
      <c r="G337" s="97">
        <f t="shared" si="21"/>
        <v>30</v>
      </c>
      <c r="H337" s="96">
        <v>30000</v>
      </c>
      <c r="I337" s="175">
        <f t="shared" si="22"/>
        <v>30</v>
      </c>
      <c r="J337" s="176">
        <f t="shared" si="23"/>
        <v>1</v>
      </c>
    </row>
    <row r="338" spans="1:10" ht="20.25" customHeight="1">
      <c r="A338" s="923"/>
      <c r="B338" s="919"/>
      <c r="C338" s="94" t="s">
        <v>1542</v>
      </c>
      <c r="D338" s="95">
        <v>0</v>
      </c>
      <c r="E338" s="97">
        <f t="shared" si="20"/>
        <v>0</v>
      </c>
      <c r="F338" s="96">
        <v>15632000</v>
      </c>
      <c r="G338" s="97">
        <f t="shared" si="21"/>
        <v>15632</v>
      </c>
      <c r="H338" s="96">
        <v>15605000</v>
      </c>
      <c r="I338" s="175">
        <f t="shared" si="22"/>
        <v>15605</v>
      </c>
      <c r="J338" s="176">
        <f t="shared" si="23"/>
        <v>0.99827277379733881</v>
      </c>
    </row>
    <row r="339" spans="1:10" ht="12.9" customHeight="1">
      <c r="A339" s="923"/>
      <c r="B339" s="919"/>
      <c r="C339" s="94" t="s">
        <v>1532</v>
      </c>
      <c r="D339" s="95">
        <v>400000</v>
      </c>
      <c r="E339" s="97">
        <f t="shared" si="20"/>
        <v>400</v>
      </c>
      <c r="F339" s="96">
        <v>202000</v>
      </c>
      <c r="G339" s="97">
        <f t="shared" si="21"/>
        <v>202</v>
      </c>
      <c r="H339" s="96">
        <v>202000</v>
      </c>
      <c r="I339" s="175">
        <f t="shared" si="22"/>
        <v>202</v>
      </c>
      <c r="J339" s="176">
        <f t="shared" si="23"/>
        <v>1</v>
      </c>
    </row>
    <row r="340" spans="1:10" ht="12.9" customHeight="1">
      <c r="A340" s="923"/>
      <c r="B340" s="919"/>
      <c r="C340" s="94" t="s">
        <v>1533</v>
      </c>
      <c r="D340" s="95">
        <v>1436000</v>
      </c>
      <c r="E340" s="97">
        <f t="shared" si="20"/>
        <v>1436</v>
      </c>
      <c r="F340" s="96">
        <v>1386000</v>
      </c>
      <c r="G340" s="97">
        <f t="shared" si="21"/>
        <v>1386</v>
      </c>
      <c r="H340" s="96">
        <v>1383000</v>
      </c>
      <c r="I340" s="175">
        <f t="shared" si="22"/>
        <v>1383</v>
      </c>
      <c r="J340" s="176">
        <f t="shared" si="23"/>
        <v>0.99783549783549785</v>
      </c>
    </row>
    <row r="341" spans="1:10" ht="19.5" customHeight="1">
      <c r="A341" s="923"/>
      <c r="B341" s="919"/>
      <c r="C341" s="94" t="s">
        <v>1534</v>
      </c>
      <c r="D341" s="95">
        <v>1600000</v>
      </c>
      <c r="E341" s="97">
        <f t="shared" si="20"/>
        <v>1600</v>
      </c>
      <c r="F341" s="96">
        <v>1040000</v>
      </c>
      <c r="G341" s="97">
        <f t="shared" si="21"/>
        <v>1040</v>
      </c>
      <c r="H341" s="96">
        <v>1017800</v>
      </c>
      <c r="I341" s="175">
        <f t="shared" si="22"/>
        <v>1017.8</v>
      </c>
      <c r="J341" s="176">
        <f t="shared" si="23"/>
        <v>0.97865384615384621</v>
      </c>
    </row>
    <row r="342" spans="1:10" ht="12.9" customHeight="1" thickBot="1">
      <c r="A342" s="923"/>
      <c r="B342" s="919"/>
      <c r="C342" s="100" t="s">
        <v>1536</v>
      </c>
      <c r="D342" s="101">
        <v>8500000</v>
      </c>
      <c r="E342" s="103">
        <f t="shared" si="20"/>
        <v>8500</v>
      </c>
      <c r="F342" s="102">
        <v>8000000</v>
      </c>
      <c r="G342" s="103">
        <f t="shared" si="21"/>
        <v>8000</v>
      </c>
      <c r="H342" s="102">
        <v>6644938</v>
      </c>
      <c r="I342" s="177">
        <f t="shared" si="22"/>
        <v>6644.9380000000001</v>
      </c>
      <c r="J342" s="178">
        <f t="shared" si="23"/>
        <v>0.83061724999999997</v>
      </c>
    </row>
    <row r="343" spans="1:10" ht="12.9" customHeight="1" thickBot="1">
      <c r="A343" s="924"/>
      <c r="B343" s="911" t="s">
        <v>1304</v>
      </c>
      <c r="C343" s="904"/>
      <c r="D343" s="179">
        <v>11936000</v>
      </c>
      <c r="E343" s="180">
        <f>SUM(E331:E342)</f>
        <v>11936</v>
      </c>
      <c r="F343" s="181">
        <v>26790000</v>
      </c>
      <c r="G343" s="180">
        <f>SUM(G331:G342)</f>
        <v>2560688.3321099998</v>
      </c>
      <c r="H343" s="181">
        <v>25332738</v>
      </c>
      <c r="I343" s="182">
        <f>SUM(I331:I342)</f>
        <v>2559074.5446100002</v>
      </c>
      <c r="J343" s="183">
        <f>I343/G343</f>
        <v>0.9993697837101988</v>
      </c>
    </row>
    <row r="344" spans="1:10" ht="12.9" customHeight="1" thickBot="1">
      <c r="A344" s="907" t="s">
        <v>1543</v>
      </c>
      <c r="B344" s="908"/>
      <c r="C344" s="908"/>
      <c r="D344" s="196">
        <v>371524000</v>
      </c>
      <c r="E344" s="197">
        <f t="shared" si="20"/>
        <v>371524</v>
      </c>
      <c r="F344" s="198">
        <v>4780178750.4200001</v>
      </c>
      <c r="G344" s="197">
        <f t="shared" si="21"/>
        <v>4780178.7504200004</v>
      </c>
      <c r="H344" s="198">
        <v>4681512862.75</v>
      </c>
      <c r="I344" s="197">
        <f t="shared" si="22"/>
        <v>4681512.8627500003</v>
      </c>
      <c r="J344" s="199">
        <f t="shared" si="23"/>
        <v>0.97935937277213092</v>
      </c>
    </row>
    <row r="345" spans="1:10" s="172" customFormat="1" ht="12" customHeight="1" thickBot="1">
      <c r="A345" s="912" t="s">
        <v>1544</v>
      </c>
      <c r="B345" s="913"/>
      <c r="C345" s="913"/>
      <c r="D345" s="913"/>
      <c r="E345" s="913"/>
      <c r="F345" s="913"/>
      <c r="G345" s="913"/>
      <c r="H345" s="913"/>
      <c r="I345" s="913"/>
      <c r="J345" s="914"/>
    </row>
    <row r="346" spans="1:10" ht="47.25" customHeight="1">
      <c r="A346" s="915" t="s">
        <v>1544</v>
      </c>
      <c r="B346" s="918" t="s">
        <v>1295</v>
      </c>
      <c r="C346" s="88" t="s">
        <v>1545</v>
      </c>
      <c r="D346" s="89">
        <v>1130000</v>
      </c>
      <c r="E346" s="91">
        <f t="shared" si="20"/>
        <v>1130</v>
      </c>
      <c r="F346" s="90">
        <v>46000</v>
      </c>
      <c r="G346" s="91">
        <f t="shared" si="21"/>
        <v>46</v>
      </c>
      <c r="H346" s="90">
        <v>46000</v>
      </c>
      <c r="I346" s="212">
        <f t="shared" si="22"/>
        <v>46</v>
      </c>
      <c r="J346" s="213">
        <f t="shared" si="23"/>
        <v>1</v>
      </c>
    </row>
    <row r="347" spans="1:10" ht="12.9" customHeight="1">
      <c r="A347" s="916"/>
      <c r="B347" s="919"/>
      <c r="C347" s="94" t="s">
        <v>1546</v>
      </c>
      <c r="D347" s="95">
        <v>350000</v>
      </c>
      <c r="E347" s="97">
        <f t="shared" si="20"/>
        <v>350</v>
      </c>
      <c r="F347" s="96">
        <v>150000</v>
      </c>
      <c r="G347" s="97">
        <f t="shared" si="21"/>
        <v>150</v>
      </c>
      <c r="H347" s="96">
        <v>136500</v>
      </c>
      <c r="I347" s="175">
        <f t="shared" si="22"/>
        <v>136.5</v>
      </c>
      <c r="J347" s="176">
        <f t="shared" si="23"/>
        <v>0.91</v>
      </c>
    </row>
    <row r="348" spans="1:10" ht="24.75" customHeight="1">
      <c r="A348" s="916"/>
      <c r="B348" s="919"/>
      <c r="C348" s="94" t="s">
        <v>1547</v>
      </c>
      <c r="D348" s="95">
        <v>230000</v>
      </c>
      <c r="E348" s="97">
        <f t="shared" si="20"/>
        <v>230</v>
      </c>
      <c r="F348" s="96">
        <v>88544</v>
      </c>
      <c r="G348" s="97">
        <f t="shared" si="21"/>
        <v>88.543999999999997</v>
      </c>
      <c r="H348" s="96">
        <v>88544</v>
      </c>
      <c r="I348" s="175">
        <f t="shared" si="22"/>
        <v>88.543999999999997</v>
      </c>
      <c r="J348" s="176">
        <f t="shared" si="23"/>
        <v>1</v>
      </c>
    </row>
    <row r="349" spans="1:10" ht="20.25" customHeight="1">
      <c r="A349" s="916"/>
      <c r="B349" s="919"/>
      <c r="C349" s="94" t="s">
        <v>1548</v>
      </c>
      <c r="D349" s="95">
        <v>200000</v>
      </c>
      <c r="E349" s="97">
        <f t="shared" si="20"/>
        <v>200</v>
      </c>
      <c r="F349" s="96">
        <v>-2.9103830456733704E-11</v>
      </c>
      <c r="G349" s="97">
        <f t="shared" si="21"/>
        <v>-2.9103830456733704E-14</v>
      </c>
      <c r="H349" s="96">
        <v>0</v>
      </c>
      <c r="I349" s="175">
        <f t="shared" si="22"/>
        <v>0</v>
      </c>
      <c r="J349" s="176">
        <f t="shared" si="23"/>
        <v>0</v>
      </c>
    </row>
    <row r="350" spans="1:10" ht="12.9" customHeight="1" thickBot="1">
      <c r="A350" s="917"/>
      <c r="B350" s="920"/>
      <c r="C350" s="214" t="s">
        <v>1549</v>
      </c>
      <c r="D350" s="215">
        <v>20000</v>
      </c>
      <c r="E350" s="216">
        <f t="shared" si="20"/>
        <v>20</v>
      </c>
      <c r="F350" s="217">
        <v>0</v>
      </c>
      <c r="G350" s="216">
        <f t="shared" si="21"/>
        <v>0</v>
      </c>
      <c r="H350" s="217">
        <v>0</v>
      </c>
      <c r="I350" s="218">
        <f t="shared" si="22"/>
        <v>0</v>
      </c>
      <c r="J350" s="238" t="s">
        <v>1147</v>
      </c>
    </row>
    <row r="351" spans="1:10" ht="12.9" customHeight="1">
      <c r="A351" s="915" t="s">
        <v>1544</v>
      </c>
      <c r="B351" s="918" t="s">
        <v>1295</v>
      </c>
      <c r="C351" s="108" t="s">
        <v>1550</v>
      </c>
      <c r="D351" s="109">
        <v>200000</v>
      </c>
      <c r="E351" s="111">
        <f t="shared" si="20"/>
        <v>200</v>
      </c>
      <c r="F351" s="110">
        <v>2000000</v>
      </c>
      <c r="G351" s="111">
        <f t="shared" si="21"/>
        <v>2000</v>
      </c>
      <c r="H351" s="110">
        <v>931200</v>
      </c>
      <c r="I351" s="173">
        <f t="shared" si="22"/>
        <v>931.2</v>
      </c>
      <c r="J351" s="174">
        <f t="shared" si="23"/>
        <v>0.46560000000000001</v>
      </c>
    </row>
    <row r="352" spans="1:10" ht="23.25" customHeight="1">
      <c r="A352" s="916"/>
      <c r="B352" s="919"/>
      <c r="C352" s="94" t="s">
        <v>1551</v>
      </c>
      <c r="D352" s="95">
        <v>1700000</v>
      </c>
      <c r="E352" s="97">
        <f t="shared" si="20"/>
        <v>1700</v>
      </c>
      <c r="F352" s="96">
        <v>992394.8</v>
      </c>
      <c r="G352" s="97">
        <f t="shared" si="21"/>
        <v>992.39480000000003</v>
      </c>
      <c r="H352" s="96">
        <v>921888</v>
      </c>
      <c r="I352" s="175">
        <f t="shared" si="22"/>
        <v>921.88800000000003</v>
      </c>
      <c r="J352" s="176">
        <f t="shared" si="23"/>
        <v>0.92895287238506286</v>
      </c>
    </row>
    <row r="353" spans="1:10" ht="24.75" customHeight="1">
      <c r="A353" s="916"/>
      <c r="B353" s="919"/>
      <c r="C353" s="94" t="s">
        <v>1552</v>
      </c>
      <c r="D353" s="95">
        <v>2000000</v>
      </c>
      <c r="E353" s="97">
        <f t="shared" si="20"/>
        <v>2000</v>
      </c>
      <c r="F353" s="96">
        <v>0</v>
      </c>
      <c r="G353" s="97">
        <f t="shared" si="21"/>
        <v>0</v>
      </c>
      <c r="H353" s="96">
        <v>0</v>
      </c>
      <c r="I353" s="175">
        <f t="shared" si="22"/>
        <v>0</v>
      </c>
      <c r="J353" s="189" t="s">
        <v>1147</v>
      </c>
    </row>
    <row r="354" spans="1:10" ht="12.9" customHeight="1">
      <c r="A354" s="916"/>
      <c r="B354" s="919"/>
      <c r="C354" s="94" t="s">
        <v>1553</v>
      </c>
      <c r="D354" s="95">
        <v>20000</v>
      </c>
      <c r="E354" s="97">
        <f t="shared" si="20"/>
        <v>20</v>
      </c>
      <c r="F354" s="96">
        <v>0</v>
      </c>
      <c r="G354" s="97">
        <f t="shared" si="21"/>
        <v>0</v>
      </c>
      <c r="H354" s="96">
        <v>0</v>
      </c>
      <c r="I354" s="175">
        <f t="shared" si="22"/>
        <v>0</v>
      </c>
      <c r="J354" s="189" t="s">
        <v>1147</v>
      </c>
    </row>
    <row r="355" spans="1:10" ht="12.9" customHeight="1">
      <c r="A355" s="916"/>
      <c r="B355" s="919"/>
      <c r="C355" s="94" t="s">
        <v>1554</v>
      </c>
      <c r="D355" s="95">
        <v>100000</v>
      </c>
      <c r="E355" s="97">
        <f t="shared" si="20"/>
        <v>100</v>
      </c>
      <c r="F355" s="96">
        <v>400000</v>
      </c>
      <c r="G355" s="97">
        <f t="shared" si="21"/>
        <v>400</v>
      </c>
      <c r="H355" s="96">
        <v>154240</v>
      </c>
      <c r="I355" s="175">
        <f t="shared" si="22"/>
        <v>154.24</v>
      </c>
      <c r="J355" s="176">
        <f t="shared" si="23"/>
        <v>0.3856</v>
      </c>
    </row>
    <row r="356" spans="1:10" ht="21" customHeight="1">
      <c r="A356" s="916"/>
      <c r="B356" s="919"/>
      <c r="C356" s="94" t="s">
        <v>1555</v>
      </c>
      <c r="D356" s="95">
        <v>900000</v>
      </c>
      <c r="E356" s="97">
        <f t="shared" si="20"/>
        <v>900</v>
      </c>
      <c r="F356" s="96">
        <v>0</v>
      </c>
      <c r="G356" s="97">
        <f t="shared" si="21"/>
        <v>0</v>
      </c>
      <c r="H356" s="96">
        <v>0</v>
      </c>
      <c r="I356" s="175">
        <f t="shared" si="22"/>
        <v>0</v>
      </c>
      <c r="J356" s="189" t="s">
        <v>1147</v>
      </c>
    </row>
    <row r="357" spans="1:10" ht="33.75" customHeight="1">
      <c r="A357" s="916"/>
      <c r="B357" s="919"/>
      <c r="C357" s="94" t="s">
        <v>1556</v>
      </c>
      <c r="D357" s="95">
        <v>1195000</v>
      </c>
      <c r="E357" s="97">
        <f t="shared" si="20"/>
        <v>1195</v>
      </c>
      <c r="F357" s="96">
        <v>1133959</v>
      </c>
      <c r="G357" s="97">
        <f t="shared" si="21"/>
        <v>1133.9590000000001</v>
      </c>
      <c r="H357" s="96">
        <v>1133959</v>
      </c>
      <c r="I357" s="175">
        <f t="shared" si="22"/>
        <v>1133.9590000000001</v>
      </c>
      <c r="J357" s="176">
        <f t="shared" si="23"/>
        <v>1</v>
      </c>
    </row>
    <row r="358" spans="1:10" ht="12.9" customHeight="1">
      <c r="A358" s="916"/>
      <c r="B358" s="919"/>
      <c r="C358" s="94" t="s">
        <v>1557</v>
      </c>
      <c r="D358" s="95">
        <v>700000</v>
      </c>
      <c r="E358" s="97">
        <f t="shared" si="20"/>
        <v>700</v>
      </c>
      <c r="F358" s="96">
        <v>583240</v>
      </c>
      <c r="G358" s="97">
        <f t="shared" si="21"/>
        <v>583.24</v>
      </c>
      <c r="H358" s="96">
        <v>583240</v>
      </c>
      <c r="I358" s="175">
        <f t="shared" si="22"/>
        <v>583.24</v>
      </c>
      <c r="J358" s="176">
        <f t="shared" si="23"/>
        <v>1</v>
      </c>
    </row>
    <row r="359" spans="1:10" ht="12.9" customHeight="1">
      <c r="A359" s="916"/>
      <c r="B359" s="919"/>
      <c r="C359" s="94" t="s">
        <v>1359</v>
      </c>
      <c r="D359" s="95">
        <v>0</v>
      </c>
      <c r="E359" s="97">
        <f t="shared" si="20"/>
        <v>0</v>
      </c>
      <c r="F359" s="96">
        <v>8631288.7000000011</v>
      </c>
      <c r="G359" s="97">
        <f t="shared" si="21"/>
        <v>8631.288700000001</v>
      </c>
      <c r="H359" s="96">
        <v>8506437.5</v>
      </c>
      <c r="I359" s="175">
        <f t="shared" si="22"/>
        <v>8506.4375</v>
      </c>
      <c r="J359" s="176">
        <f t="shared" si="23"/>
        <v>0.98553504530557512</v>
      </c>
    </row>
    <row r="360" spans="1:10" ht="12.9" customHeight="1">
      <c r="A360" s="916"/>
      <c r="B360" s="919"/>
      <c r="C360" s="94" t="s">
        <v>1558</v>
      </c>
      <c r="D360" s="95">
        <v>20000</v>
      </c>
      <c r="E360" s="97">
        <f t="shared" si="20"/>
        <v>20</v>
      </c>
      <c r="F360" s="96">
        <v>2450</v>
      </c>
      <c r="G360" s="97">
        <f t="shared" si="21"/>
        <v>2.4500000000000002</v>
      </c>
      <c r="H360" s="96">
        <v>2450</v>
      </c>
      <c r="I360" s="175">
        <f t="shared" si="22"/>
        <v>2.4500000000000002</v>
      </c>
      <c r="J360" s="176">
        <f t="shared" si="23"/>
        <v>1</v>
      </c>
    </row>
    <row r="361" spans="1:10" ht="12.9" customHeight="1">
      <c r="A361" s="916"/>
      <c r="B361" s="919"/>
      <c r="C361" s="94" t="s">
        <v>1559</v>
      </c>
      <c r="D361" s="95">
        <v>55000</v>
      </c>
      <c r="E361" s="97">
        <f t="shared" si="20"/>
        <v>55</v>
      </c>
      <c r="F361" s="96">
        <v>53725.2</v>
      </c>
      <c r="G361" s="97">
        <f t="shared" si="21"/>
        <v>53.725199999999994</v>
      </c>
      <c r="H361" s="96">
        <v>53725.2</v>
      </c>
      <c r="I361" s="175">
        <f t="shared" si="22"/>
        <v>53.725199999999994</v>
      </c>
      <c r="J361" s="176">
        <f t="shared" si="23"/>
        <v>1</v>
      </c>
    </row>
    <row r="362" spans="1:10" ht="21.75" customHeight="1">
      <c r="A362" s="916"/>
      <c r="B362" s="919"/>
      <c r="C362" s="94" t="s">
        <v>1560</v>
      </c>
      <c r="D362" s="95">
        <v>0</v>
      </c>
      <c r="E362" s="97">
        <f t="shared" si="20"/>
        <v>0</v>
      </c>
      <c r="F362" s="96">
        <v>22350</v>
      </c>
      <c r="G362" s="97">
        <f t="shared" si="21"/>
        <v>22.35</v>
      </c>
      <c r="H362" s="96">
        <v>22350</v>
      </c>
      <c r="I362" s="175">
        <f t="shared" si="22"/>
        <v>22.35</v>
      </c>
      <c r="J362" s="176">
        <f t="shared" si="23"/>
        <v>1</v>
      </c>
    </row>
    <row r="363" spans="1:10" ht="35.25" customHeight="1">
      <c r="A363" s="916"/>
      <c r="B363" s="919"/>
      <c r="C363" s="94" t="s">
        <v>1561</v>
      </c>
      <c r="D363" s="95">
        <v>500000</v>
      </c>
      <c r="E363" s="97">
        <f t="shared" si="20"/>
        <v>500</v>
      </c>
      <c r="F363" s="96">
        <v>552000</v>
      </c>
      <c r="G363" s="97">
        <f t="shared" si="21"/>
        <v>552</v>
      </c>
      <c r="H363" s="96">
        <v>552000</v>
      </c>
      <c r="I363" s="175">
        <f t="shared" si="22"/>
        <v>552</v>
      </c>
      <c r="J363" s="176">
        <f t="shared" si="23"/>
        <v>1</v>
      </c>
    </row>
    <row r="364" spans="1:10" ht="12.9" customHeight="1">
      <c r="A364" s="916"/>
      <c r="B364" s="919"/>
      <c r="C364" s="94" t="s">
        <v>1562</v>
      </c>
      <c r="D364" s="95">
        <v>30000</v>
      </c>
      <c r="E364" s="97">
        <f t="shared" si="20"/>
        <v>30</v>
      </c>
      <c r="F364" s="96">
        <v>0</v>
      </c>
      <c r="G364" s="97">
        <f t="shared" si="21"/>
        <v>0</v>
      </c>
      <c r="H364" s="96">
        <v>0</v>
      </c>
      <c r="I364" s="175">
        <f t="shared" si="22"/>
        <v>0</v>
      </c>
      <c r="J364" s="189" t="s">
        <v>1147</v>
      </c>
    </row>
    <row r="365" spans="1:10" ht="12.9" customHeight="1">
      <c r="A365" s="916"/>
      <c r="B365" s="919"/>
      <c r="C365" s="94" t="s">
        <v>1563</v>
      </c>
      <c r="D365" s="95">
        <v>30000</v>
      </c>
      <c r="E365" s="97">
        <f t="shared" si="20"/>
        <v>30</v>
      </c>
      <c r="F365" s="96">
        <v>0</v>
      </c>
      <c r="G365" s="97">
        <f t="shared" si="21"/>
        <v>0</v>
      </c>
      <c r="H365" s="96">
        <v>0</v>
      </c>
      <c r="I365" s="175">
        <f t="shared" si="22"/>
        <v>0</v>
      </c>
      <c r="J365" s="189" t="s">
        <v>1147</v>
      </c>
    </row>
    <row r="366" spans="1:10" ht="12.9" customHeight="1">
      <c r="A366" s="916"/>
      <c r="B366" s="919"/>
      <c r="C366" s="94" t="s">
        <v>1564</v>
      </c>
      <c r="D366" s="95">
        <v>20000</v>
      </c>
      <c r="E366" s="97">
        <f t="shared" si="20"/>
        <v>20</v>
      </c>
      <c r="F366" s="96">
        <v>0</v>
      </c>
      <c r="G366" s="97">
        <f t="shared" si="21"/>
        <v>0</v>
      </c>
      <c r="H366" s="96">
        <v>0</v>
      </c>
      <c r="I366" s="175">
        <f t="shared" si="22"/>
        <v>0</v>
      </c>
      <c r="J366" s="189" t="s">
        <v>1147</v>
      </c>
    </row>
    <row r="367" spans="1:10" ht="20.25" customHeight="1" thickBot="1">
      <c r="A367" s="916"/>
      <c r="B367" s="919"/>
      <c r="C367" s="100" t="s">
        <v>1565</v>
      </c>
      <c r="D367" s="101">
        <v>10000000</v>
      </c>
      <c r="E367" s="103">
        <f t="shared" si="20"/>
        <v>10000</v>
      </c>
      <c r="F367" s="102">
        <v>10000000</v>
      </c>
      <c r="G367" s="103">
        <f t="shared" si="21"/>
        <v>10000</v>
      </c>
      <c r="H367" s="102">
        <v>382963</v>
      </c>
      <c r="I367" s="177">
        <f t="shared" si="22"/>
        <v>382.96300000000002</v>
      </c>
      <c r="J367" s="178">
        <f t="shared" si="23"/>
        <v>3.8296299999999998E-2</v>
      </c>
    </row>
    <row r="368" spans="1:10" ht="12.9" customHeight="1" thickBot="1">
      <c r="A368" s="916"/>
      <c r="B368" s="903" t="s">
        <v>1300</v>
      </c>
      <c r="C368" s="904"/>
      <c r="D368" s="179">
        <v>19400000</v>
      </c>
      <c r="E368" s="180">
        <f t="shared" si="20"/>
        <v>19400</v>
      </c>
      <c r="F368" s="181">
        <v>24655951.699999999</v>
      </c>
      <c r="G368" s="180">
        <f t="shared" si="21"/>
        <v>24655.951699999998</v>
      </c>
      <c r="H368" s="181">
        <v>13515496.700000001</v>
      </c>
      <c r="I368" s="182">
        <f t="shared" si="22"/>
        <v>13515.496700000002</v>
      </c>
      <c r="J368" s="183">
        <f t="shared" si="23"/>
        <v>0.54816365900002961</v>
      </c>
    </row>
    <row r="369" spans="1:10" ht="22.5" customHeight="1">
      <c r="A369" s="916"/>
      <c r="B369" s="921" t="s">
        <v>1321</v>
      </c>
      <c r="C369" s="108" t="s">
        <v>1566</v>
      </c>
      <c r="D369" s="109">
        <v>0</v>
      </c>
      <c r="E369" s="111">
        <f t="shared" si="20"/>
        <v>0</v>
      </c>
      <c r="F369" s="110">
        <v>100000</v>
      </c>
      <c r="G369" s="111">
        <f t="shared" si="21"/>
        <v>100</v>
      </c>
      <c r="H369" s="110">
        <v>100000</v>
      </c>
      <c r="I369" s="173">
        <f t="shared" si="22"/>
        <v>100</v>
      </c>
      <c r="J369" s="174">
        <f t="shared" si="23"/>
        <v>1</v>
      </c>
    </row>
    <row r="370" spans="1:10" ht="22.5" customHeight="1" thickBot="1">
      <c r="A370" s="916"/>
      <c r="B370" s="906"/>
      <c r="C370" s="100" t="s">
        <v>1546</v>
      </c>
      <c r="D370" s="101">
        <v>0</v>
      </c>
      <c r="E370" s="103">
        <f t="shared" si="20"/>
        <v>0</v>
      </c>
      <c r="F370" s="102">
        <v>8000</v>
      </c>
      <c r="G370" s="103">
        <f t="shared" si="21"/>
        <v>8</v>
      </c>
      <c r="H370" s="102">
        <v>8000</v>
      </c>
      <c r="I370" s="177">
        <f t="shared" si="22"/>
        <v>8</v>
      </c>
      <c r="J370" s="178">
        <f t="shared" si="23"/>
        <v>1</v>
      </c>
    </row>
    <row r="371" spans="1:10" ht="12.9" customHeight="1" thickBot="1">
      <c r="A371" s="916"/>
      <c r="B371" s="903" t="s">
        <v>1329</v>
      </c>
      <c r="C371" s="904"/>
      <c r="D371" s="179">
        <v>0</v>
      </c>
      <c r="E371" s="180">
        <f t="shared" si="20"/>
        <v>0</v>
      </c>
      <c r="F371" s="181">
        <v>108000</v>
      </c>
      <c r="G371" s="180">
        <f t="shared" si="21"/>
        <v>108</v>
      </c>
      <c r="H371" s="181">
        <v>108000</v>
      </c>
      <c r="I371" s="182">
        <f t="shared" si="22"/>
        <v>108</v>
      </c>
      <c r="J371" s="183">
        <f t="shared" si="23"/>
        <v>1</v>
      </c>
    </row>
    <row r="372" spans="1:10" ht="36" customHeight="1" thickBot="1">
      <c r="A372" s="916"/>
      <c r="B372" s="211" t="s">
        <v>1330</v>
      </c>
      <c r="C372" s="108" t="s">
        <v>1567</v>
      </c>
      <c r="D372" s="109">
        <v>350000</v>
      </c>
      <c r="E372" s="111">
        <f t="shared" si="20"/>
        <v>350</v>
      </c>
      <c r="F372" s="110">
        <v>336687</v>
      </c>
      <c r="G372" s="111">
        <f t="shared" si="21"/>
        <v>336.68700000000001</v>
      </c>
      <c r="H372" s="110">
        <v>336687</v>
      </c>
      <c r="I372" s="173">
        <f t="shared" si="22"/>
        <v>336.68700000000001</v>
      </c>
      <c r="J372" s="174">
        <f t="shared" si="23"/>
        <v>1</v>
      </c>
    </row>
    <row r="373" spans="1:10" ht="12.9" customHeight="1" thickBot="1">
      <c r="A373" s="916"/>
      <c r="B373" s="903" t="s">
        <v>1332</v>
      </c>
      <c r="C373" s="904"/>
      <c r="D373" s="179">
        <v>0</v>
      </c>
      <c r="E373" s="180">
        <v>350</v>
      </c>
      <c r="F373" s="181">
        <v>108000</v>
      </c>
      <c r="G373" s="180">
        <v>336.69</v>
      </c>
      <c r="H373" s="181">
        <v>108000</v>
      </c>
      <c r="I373" s="182">
        <v>336.69</v>
      </c>
      <c r="J373" s="183">
        <f>H373/F373</f>
        <v>1</v>
      </c>
    </row>
    <row r="374" spans="1:10" ht="12.9" customHeight="1">
      <c r="A374" s="916"/>
      <c r="B374" s="905" t="s">
        <v>1301</v>
      </c>
      <c r="C374" s="94" t="s">
        <v>1568</v>
      </c>
      <c r="D374" s="95">
        <v>26500000</v>
      </c>
      <c r="E374" s="97">
        <f t="shared" si="20"/>
        <v>26500</v>
      </c>
      <c r="F374" s="96">
        <v>39800000</v>
      </c>
      <c r="G374" s="97">
        <f t="shared" si="21"/>
        <v>39800</v>
      </c>
      <c r="H374" s="96">
        <v>39614691</v>
      </c>
      <c r="I374" s="175">
        <f t="shared" si="22"/>
        <v>39614.690999999999</v>
      </c>
      <c r="J374" s="176">
        <f t="shared" si="23"/>
        <v>0.99534399497487436</v>
      </c>
    </row>
    <row r="375" spans="1:10" ht="12.9" customHeight="1">
      <c r="A375" s="916"/>
      <c r="B375" s="905"/>
      <c r="C375" s="94" t="s">
        <v>1566</v>
      </c>
      <c r="D375" s="95">
        <v>4000000</v>
      </c>
      <c r="E375" s="97">
        <f t="shared" si="20"/>
        <v>4000</v>
      </c>
      <c r="F375" s="96">
        <v>3975000</v>
      </c>
      <c r="G375" s="97">
        <f t="shared" si="21"/>
        <v>3975</v>
      </c>
      <c r="H375" s="96">
        <v>3956216</v>
      </c>
      <c r="I375" s="175">
        <f t="shared" si="22"/>
        <v>3956.2159999999999</v>
      </c>
      <c r="J375" s="176">
        <f t="shared" si="23"/>
        <v>0.99527446540880504</v>
      </c>
    </row>
    <row r="376" spans="1:10" ht="12.9" customHeight="1">
      <c r="A376" s="916"/>
      <c r="B376" s="905"/>
      <c r="C376" s="94" t="s">
        <v>1546</v>
      </c>
      <c r="D376" s="95">
        <v>0</v>
      </c>
      <c r="E376" s="97">
        <f t="shared" si="20"/>
        <v>0</v>
      </c>
      <c r="F376" s="96">
        <v>52000</v>
      </c>
      <c r="G376" s="97">
        <f t="shared" si="21"/>
        <v>52</v>
      </c>
      <c r="H376" s="96">
        <v>52000</v>
      </c>
      <c r="I376" s="175">
        <f t="shared" si="22"/>
        <v>52</v>
      </c>
      <c r="J376" s="176">
        <f t="shared" si="23"/>
        <v>1</v>
      </c>
    </row>
    <row r="377" spans="1:10" ht="23.25" customHeight="1">
      <c r="A377" s="916"/>
      <c r="B377" s="905"/>
      <c r="C377" s="94" t="s">
        <v>1569</v>
      </c>
      <c r="D377" s="95">
        <v>0</v>
      </c>
      <c r="E377" s="97">
        <f t="shared" si="20"/>
        <v>0</v>
      </c>
      <c r="F377" s="96">
        <v>4979000</v>
      </c>
      <c r="G377" s="97">
        <f t="shared" si="21"/>
        <v>4979</v>
      </c>
      <c r="H377" s="96">
        <v>2393948.86</v>
      </c>
      <c r="I377" s="175">
        <f t="shared" si="22"/>
        <v>2393.94886</v>
      </c>
      <c r="J377" s="176">
        <f t="shared" si="23"/>
        <v>0.48080917051616789</v>
      </c>
    </row>
    <row r="378" spans="1:10" ht="22.5" customHeight="1">
      <c r="A378" s="916"/>
      <c r="B378" s="905"/>
      <c r="C378" s="94" t="s">
        <v>1552</v>
      </c>
      <c r="D378" s="95">
        <v>0</v>
      </c>
      <c r="E378" s="97">
        <f t="shared" si="20"/>
        <v>0</v>
      </c>
      <c r="F378" s="96">
        <v>2000000</v>
      </c>
      <c r="G378" s="97">
        <f t="shared" si="21"/>
        <v>2000</v>
      </c>
      <c r="H378" s="96">
        <v>2000000</v>
      </c>
      <c r="I378" s="175">
        <f t="shared" si="22"/>
        <v>2000</v>
      </c>
      <c r="J378" s="176">
        <f t="shared" si="23"/>
        <v>1</v>
      </c>
    </row>
    <row r="379" spans="1:10" ht="22.5" customHeight="1">
      <c r="A379" s="916"/>
      <c r="B379" s="905"/>
      <c r="C379" s="94" t="s">
        <v>1570</v>
      </c>
      <c r="D379" s="95">
        <v>0</v>
      </c>
      <c r="E379" s="97">
        <f t="shared" si="20"/>
        <v>0</v>
      </c>
      <c r="F379" s="96">
        <v>2302365.2200000002</v>
      </c>
      <c r="G379" s="97">
        <f t="shared" si="21"/>
        <v>2302.3652200000001</v>
      </c>
      <c r="H379" s="96">
        <v>2302365.2200000002</v>
      </c>
      <c r="I379" s="175">
        <f t="shared" si="22"/>
        <v>2302.3652200000001</v>
      </c>
      <c r="J379" s="176">
        <f t="shared" si="23"/>
        <v>1</v>
      </c>
    </row>
    <row r="380" spans="1:10" ht="12.9" customHeight="1">
      <c r="A380" s="916"/>
      <c r="B380" s="905"/>
      <c r="C380" s="94" t="s">
        <v>1571</v>
      </c>
      <c r="D380" s="95">
        <v>0</v>
      </c>
      <c r="E380" s="97">
        <f t="shared" si="20"/>
        <v>0</v>
      </c>
      <c r="F380" s="96">
        <v>301000</v>
      </c>
      <c r="G380" s="97">
        <f t="shared" si="21"/>
        <v>301</v>
      </c>
      <c r="H380" s="96">
        <v>301000</v>
      </c>
      <c r="I380" s="175">
        <f t="shared" si="22"/>
        <v>301</v>
      </c>
      <c r="J380" s="176">
        <f t="shared" si="23"/>
        <v>1</v>
      </c>
    </row>
    <row r="381" spans="1:10" ht="21.75" customHeight="1">
      <c r="A381" s="916"/>
      <c r="B381" s="905"/>
      <c r="C381" s="94" t="s">
        <v>1572</v>
      </c>
      <c r="D381" s="95">
        <v>20000000</v>
      </c>
      <c r="E381" s="97">
        <f t="shared" si="20"/>
        <v>20000</v>
      </c>
      <c r="F381" s="96">
        <v>25000000</v>
      </c>
      <c r="G381" s="97">
        <f t="shared" si="21"/>
        <v>25000</v>
      </c>
      <c r="H381" s="96">
        <v>22968215</v>
      </c>
      <c r="I381" s="175">
        <f t="shared" si="22"/>
        <v>22968.215</v>
      </c>
      <c r="J381" s="176">
        <f t="shared" si="23"/>
        <v>0.91872860000000001</v>
      </c>
    </row>
    <row r="382" spans="1:10" ht="21.75" customHeight="1" thickBot="1">
      <c r="A382" s="916"/>
      <c r="B382" s="906"/>
      <c r="C382" s="100" t="s">
        <v>1555</v>
      </c>
      <c r="D382" s="101">
        <v>0</v>
      </c>
      <c r="E382" s="103">
        <f t="shared" si="20"/>
        <v>0</v>
      </c>
      <c r="F382" s="102">
        <v>1500000</v>
      </c>
      <c r="G382" s="103">
        <f t="shared" si="21"/>
        <v>1500</v>
      </c>
      <c r="H382" s="102">
        <v>1444000</v>
      </c>
      <c r="I382" s="177">
        <f t="shared" si="22"/>
        <v>1444</v>
      </c>
      <c r="J382" s="178">
        <f t="shared" si="23"/>
        <v>0.96266666666666667</v>
      </c>
    </row>
    <row r="383" spans="1:10" ht="12.9" customHeight="1" thickBot="1">
      <c r="A383" s="917"/>
      <c r="B383" s="903" t="s">
        <v>1304</v>
      </c>
      <c r="C383" s="904"/>
      <c r="D383" s="179">
        <v>50500000</v>
      </c>
      <c r="E383" s="180">
        <f t="shared" si="20"/>
        <v>50500</v>
      </c>
      <c r="F383" s="181">
        <v>79909365.219999999</v>
      </c>
      <c r="G383" s="180">
        <f t="shared" si="21"/>
        <v>79909.365219999992</v>
      </c>
      <c r="H383" s="181">
        <v>75032436.079999998</v>
      </c>
      <c r="I383" s="182">
        <f t="shared" si="22"/>
        <v>75032.436079999999</v>
      </c>
      <c r="J383" s="183">
        <f t="shared" si="23"/>
        <v>0.93896924188331077</v>
      </c>
    </row>
    <row r="384" spans="1:10" ht="12.9" customHeight="1" thickBot="1">
      <c r="A384" s="907" t="s">
        <v>1573</v>
      </c>
      <c r="B384" s="908"/>
      <c r="C384" s="908"/>
      <c r="D384" s="196">
        <v>70250000</v>
      </c>
      <c r="E384" s="197">
        <f t="shared" si="20"/>
        <v>70250</v>
      </c>
      <c r="F384" s="198">
        <v>105010003.92</v>
      </c>
      <c r="G384" s="197">
        <f t="shared" si="21"/>
        <v>105010.00392</v>
      </c>
      <c r="H384" s="198">
        <v>88992619.780000001</v>
      </c>
      <c r="I384" s="197">
        <f t="shared" si="22"/>
        <v>88992.619780000008</v>
      </c>
      <c r="J384" s="199">
        <f t="shared" si="23"/>
        <v>0.84746801693101015</v>
      </c>
    </row>
    <row r="385" spans="1:10" ht="12.9" customHeight="1" thickBot="1">
      <c r="A385" s="239"/>
      <c r="B385" s="239"/>
      <c r="C385" s="239"/>
      <c r="D385" s="240"/>
      <c r="E385" s="241"/>
      <c r="F385" s="242"/>
      <c r="G385" s="241"/>
      <c r="H385" s="242"/>
      <c r="I385" s="241"/>
      <c r="J385" s="243"/>
    </row>
    <row r="386" spans="1:10" s="248" customFormat="1" ht="12.9" customHeight="1" thickBot="1">
      <c r="A386" s="909" t="s">
        <v>1574</v>
      </c>
      <c r="B386" s="910"/>
      <c r="C386" s="910"/>
      <c r="D386" s="244">
        <v>4268059000</v>
      </c>
      <c r="E386" s="245">
        <f t="shared" si="20"/>
        <v>4268059</v>
      </c>
      <c r="F386" s="246">
        <v>9479476153.3799992</v>
      </c>
      <c r="G386" s="245">
        <f t="shared" si="21"/>
        <v>9479476.1533799991</v>
      </c>
      <c r="H386" s="246">
        <v>8748654454.4799995</v>
      </c>
      <c r="I386" s="245">
        <f t="shared" si="22"/>
        <v>8748654.4544799998</v>
      </c>
      <c r="J386" s="247">
        <f t="shared" si="23"/>
        <v>0.92290484336105238</v>
      </c>
    </row>
  </sheetData>
  <mergeCells count="147">
    <mergeCell ref="A1:J1"/>
    <mergeCell ref="A3:C3"/>
    <mergeCell ref="A4:J4"/>
    <mergeCell ref="A5:A12"/>
    <mergeCell ref="B5:B8"/>
    <mergeCell ref="B9:C9"/>
    <mergeCell ref="B10:B11"/>
    <mergeCell ref="B12:C12"/>
    <mergeCell ref="A13:C13"/>
    <mergeCell ref="A14:J14"/>
    <mergeCell ref="A15:A42"/>
    <mergeCell ref="B15:B25"/>
    <mergeCell ref="B26:C26"/>
    <mergeCell ref="B28:C28"/>
    <mergeCell ref="B29:B35"/>
    <mergeCell ref="B36:C36"/>
    <mergeCell ref="B37:B38"/>
    <mergeCell ref="B39:C39"/>
    <mergeCell ref="A53:C53"/>
    <mergeCell ref="A54:J54"/>
    <mergeCell ref="A55:A68"/>
    <mergeCell ref="B55:B60"/>
    <mergeCell ref="B61:C61"/>
    <mergeCell ref="B63:C63"/>
    <mergeCell ref="B64:B67"/>
    <mergeCell ref="B68:C68"/>
    <mergeCell ref="B40:B41"/>
    <mergeCell ref="B42:C42"/>
    <mergeCell ref="A43:C43"/>
    <mergeCell ref="A47:J47"/>
    <mergeCell ref="A48:A52"/>
    <mergeCell ref="B48:B49"/>
    <mergeCell ref="B50:C50"/>
    <mergeCell ref="B52:C52"/>
    <mergeCell ref="B90:B104"/>
    <mergeCell ref="B105:C105"/>
    <mergeCell ref="B107:C107"/>
    <mergeCell ref="B108:B123"/>
    <mergeCell ref="A124:A127"/>
    <mergeCell ref="B124:B126"/>
    <mergeCell ref="B127:C127"/>
    <mergeCell ref="A69:C69"/>
    <mergeCell ref="A70:J70"/>
    <mergeCell ref="A71:A83"/>
    <mergeCell ref="B71:B82"/>
    <mergeCell ref="B83:C83"/>
    <mergeCell ref="A84:A123"/>
    <mergeCell ref="B84:B85"/>
    <mergeCell ref="B86:C86"/>
    <mergeCell ref="B87:B88"/>
    <mergeCell ref="B89:C89"/>
    <mergeCell ref="A128:C128"/>
    <mergeCell ref="A129:J129"/>
    <mergeCell ref="A130:A147"/>
    <mergeCell ref="B130:B134"/>
    <mergeCell ref="B135:C135"/>
    <mergeCell ref="B136:B137"/>
    <mergeCell ref="B138:C138"/>
    <mergeCell ref="B139:B146"/>
    <mergeCell ref="B147:C147"/>
    <mergeCell ref="A148:C148"/>
    <mergeCell ref="A149:J149"/>
    <mergeCell ref="A150:A166"/>
    <mergeCell ref="B150:B152"/>
    <mergeCell ref="B153:C153"/>
    <mergeCell ref="B155:C155"/>
    <mergeCell ref="B157:C157"/>
    <mergeCell ref="B158:B159"/>
    <mergeCell ref="B160:C160"/>
    <mergeCell ref="B161:B165"/>
    <mergeCell ref="B166:C166"/>
    <mergeCell ref="A167:C167"/>
    <mergeCell ref="A170:J170"/>
    <mergeCell ref="A171:A182"/>
    <mergeCell ref="B171:B172"/>
    <mergeCell ref="B173:C173"/>
    <mergeCell ref="B175:C175"/>
    <mergeCell ref="B176:B181"/>
    <mergeCell ref="B182:C182"/>
    <mergeCell ref="A183:C183"/>
    <mergeCell ref="A184:J184"/>
    <mergeCell ref="A185:A214"/>
    <mergeCell ref="B185:B189"/>
    <mergeCell ref="B190:C190"/>
    <mergeCell ref="B191:B196"/>
    <mergeCell ref="B197:C197"/>
    <mergeCell ref="B198:B199"/>
    <mergeCell ref="B200:C200"/>
    <mergeCell ref="B201:B213"/>
    <mergeCell ref="B214:C214"/>
    <mergeCell ref="A215:C215"/>
    <mergeCell ref="A216:J216"/>
    <mergeCell ref="A217:A251"/>
    <mergeCell ref="B217:B234"/>
    <mergeCell ref="B235:C235"/>
    <mergeCell ref="B236:B242"/>
    <mergeCell ref="B243:C243"/>
    <mergeCell ref="B245:C245"/>
    <mergeCell ref="B247:C247"/>
    <mergeCell ref="A264:A271"/>
    <mergeCell ref="B265:C265"/>
    <mergeCell ref="B267:C267"/>
    <mergeCell ref="B268:B270"/>
    <mergeCell ref="B271:C271"/>
    <mergeCell ref="A272:C272"/>
    <mergeCell ref="B248:B250"/>
    <mergeCell ref="B251:C251"/>
    <mergeCell ref="A252:C252"/>
    <mergeCell ref="A253:J253"/>
    <mergeCell ref="A254:A263"/>
    <mergeCell ref="B254:B262"/>
    <mergeCell ref="B263:C263"/>
    <mergeCell ref="A273:J273"/>
    <mergeCell ref="A274:A299"/>
    <mergeCell ref="B274:B283"/>
    <mergeCell ref="B284:C284"/>
    <mergeCell ref="B286:C286"/>
    <mergeCell ref="B287:B288"/>
    <mergeCell ref="B289:C289"/>
    <mergeCell ref="B291:C291"/>
    <mergeCell ref="B292:B298"/>
    <mergeCell ref="B299:C299"/>
    <mergeCell ref="A300:C300"/>
    <mergeCell ref="A305:J305"/>
    <mergeCell ref="A306:A343"/>
    <mergeCell ref="B306:B312"/>
    <mergeCell ref="B313:C313"/>
    <mergeCell ref="B315:C315"/>
    <mergeCell ref="B317:C317"/>
    <mergeCell ref="B318:B329"/>
    <mergeCell ref="B330:C330"/>
    <mergeCell ref="B331:B342"/>
    <mergeCell ref="B373:C373"/>
    <mergeCell ref="B374:B382"/>
    <mergeCell ref="B383:C383"/>
    <mergeCell ref="A384:C384"/>
    <mergeCell ref="A386:C386"/>
    <mergeCell ref="B343:C343"/>
    <mergeCell ref="A344:C344"/>
    <mergeCell ref="A345:J345"/>
    <mergeCell ref="A346:A350"/>
    <mergeCell ref="B346:B350"/>
    <mergeCell ref="A351:A383"/>
    <mergeCell ref="B351:B367"/>
    <mergeCell ref="B368:C368"/>
    <mergeCell ref="B369:B370"/>
    <mergeCell ref="B371:C371"/>
  </mergeCells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>
    <oddHeader>&amp;LPříloha č. 8&amp;CZávěrečný účet Plzeňského kraje za rok 2010</oddHeader>
    <oddFooter>&amp;LKrajský úřad Plzeňského kraje
odbor ekonomický&amp;C&amp;P&amp;R&amp;D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79"/>
  <sheetViews>
    <sheetView showGridLines="0" tabSelected="1" zoomScaleNormal="100" workbookViewId="0">
      <selection activeCell="F5" sqref="F5"/>
    </sheetView>
  </sheetViews>
  <sheetFormatPr defaultRowHeight="10.199999999999999"/>
  <cols>
    <col min="1" max="1" width="5.33203125" style="779" customWidth="1"/>
    <col min="2" max="2" width="4.5546875" style="779" customWidth="1"/>
    <col min="3" max="3" width="36.44140625" style="804" customWidth="1"/>
    <col min="4" max="4" width="48.6640625" style="804" customWidth="1"/>
    <col min="5" max="5" width="16.109375" style="805" hidden="1" customWidth="1"/>
    <col min="6" max="6" width="14.5546875" style="805" customWidth="1"/>
    <col min="7" max="256" width="9.109375" style="779"/>
    <col min="257" max="257" width="5.33203125" style="779" customWidth="1"/>
    <col min="258" max="258" width="4.5546875" style="779" customWidth="1"/>
    <col min="259" max="259" width="36.44140625" style="779" customWidth="1"/>
    <col min="260" max="260" width="48.6640625" style="779" customWidth="1"/>
    <col min="261" max="261" width="0" style="779" hidden="1" customWidth="1"/>
    <col min="262" max="262" width="14.5546875" style="779" customWidth="1"/>
    <col min="263" max="512" width="9.109375" style="779"/>
    <col min="513" max="513" width="5.33203125" style="779" customWidth="1"/>
    <col min="514" max="514" width="4.5546875" style="779" customWidth="1"/>
    <col min="515" max="515" width="36.44140625" style="779" customWidth="1"/>
    <col min="516" max="516" width="48.6640625" style="779" customWidth="1"/>
    <col min="517" max="517" width="0" style="779" hidden="1" customWidth="1"/>
    <col min="518" max="518" width="14.5546875" style="779" customWidth="1"/>
    <col min="519" max="768" width="9.109375" style="779"/>
    <col min="769" max="769" width="5.33203125" style="779" customWidth="1"/>
    <col min="770" max="770" width="4.5546875" style="779" customWidth="1"/>
    <col min="771" max="771" width="36.44140625" style="779" customWidth="1"/>
    <col min="772" max="772" width="48.6640625" style="779" customWidth="1"/>
    <col min="773" max="773" width="0" style="779" hidden="1" customWidth="1"/>
    <col min="774" max="774" width="14.5546875" style="779" customWidth="1"/>
    <col min="775" max="1024" width="9.109375" style="779"/>
    <col min="1025" max="1025" width="5.33203125" style="779" customWidth="1"/>
    <col min="1026" max="1026" width="4.5546875" style="779" customWidth="1"/>
    <col min="1027" max="1027" width="36.44140625" style="779" customWidth="1"/>
    <col min="1028" max="1028" width="48.6640625" style="779" customWidth="1"/>
    <col min="1029" max="1029" width="0" style="779" hidden="1" customWidth="1"/>
    <col min="1030" max="1030" width="14.5546875" style="779" customWidth="1"/>
    <col min="1031" max="1280" width="9.109375" style="779"/>
    <col min="1281" max="1281" width="5.33203125" style="779" customWidth="1"/>
    <col min="1282" max="1282" width="4.5546875" style="779" customWidth="1"/>
    <col min="1283" max="1283" width="36.44140625" style="779" customWidth="1"/>
    <col min="1284" max="1284" width="48.6640625" style="779" customWidth="1"/>
    <col min="1285" max="1285" width="0" style="779" hidden="1" customWidth="1"/>
    <col min="1286" max="1286" width="14.5546875" style="779" customWidth="1"/>
    <col min="1287" max="1536" width="9.109375" style="779"/>
    <col min="1537" max="1537" width="5.33203125" style="779" customWidth="1"/>
    <col min="1538" max="1538" width="4.5546875" style="779" customWidth="1"/>
    <col min="1539" max="1539" width="36.44140625" style="779" customWidth="1"/>
    <col min="1540" max="1540" width="48.6640625" style="779" customWidth="1"/>
    <col min="1541" max="1541" width="0" style="779" hidden="1" customWidth="1"/>
    <col min="1542" max="1542" width="14.5546875" style="779" customWidth="1"/>
    <col min="1543" max="1792" width="9.109375" style="779"/>
    <col min="1793" max="1793" width="5.33203125" style="779" customWidth="1"/>
    <col min="1794" max="1794" width="4.5546875" style="779" customWidth="1"/>
    <col min="1795" max="1795" width="36.44140625" style="779" customWidth="1"/>
    <col min="1796" max="1796" width="48.6640625" style="779" customWidth="1"/>
    <col min="1797" max="1797" width="0" style="779" hidden="1" customWidth="1"/>
    <col min="1798" max="1798" width="14.5546875" style="779" customWidth="1"/>
    <col min="1799" max="2048" width="9.109375" style="779"/>
    <col min="2049" max="2049" width="5.33203125" style="779" customWidth="1"/>
    <col min="2050" max="2050" width="4.5546875" style="779" customWidth="1"/>
    <col min="2051" max="2051" width="36.44140625" style="779" customWidth="1"/>
    <col min="2052" max="2052" width="48.6640625" style="779" customWidth="1"/>
    <col min="2053" max="2053" width="0" style="779" hidden="1" customWidth="1"/>
    <col min="2054" max="2054" width="14.5546875" style="779" customWidth="1"/>
    <col min="2055" max="2304" width="9.109375" style="779"/>
    <col min="2305" max="2305" width="5.33203125" style="779" customWidth="1"/>
    <col min="2306" max="2306" width="4.5546875" style="779" customWidth="1"/>
    <col min="2307" max="2307" width="36.44140625" style="779" customWidth="1"/>
    <col min="2308" max="2308" width="48.6640625" style="779" customWidth="1"/>
    <col min="2309" max="2309" width="0" style="779" hidden="1" customWidth="1"/>
    <col min="2310" max="2310" width="14.5546875" style="779" customWidth="1"/>
    <col min="2311" max="2560" width="9.109375" style="779"/>
    <col min="2561" max="2561" width="5.33203125" style="779" customWidth="1"/>
    <col min="2562" max="2562" width="4.5546875" style="779" customWidth="1"/>
    <col min="2563" max="2563" width="36.44140625" style="779" customWidth="1"/>
    <col min="2564" max="2564" width="48.6640625" style="779" customWidth="1"/>
    <col min="2565" max="2565" width="0" style="779" hidden="1" customWidth="1"/>
    <col min="2566" max="2566" width="14.5546875" style="779" customWidth="1"/>
    <col min="2567" max="2816" width="9.109375" style="779"/>
    <col min="2817" max="2817" width="5.33203125" style="779" customWidth="1"/>
    <col min="2818" max="2818" width="4.5546875" style="779" customWidth="1"/>
    <col min="2819" max="2819" width="36.44140625" style="779" customWidth="1"/>
    <col min="2820" max="2820" width="48.6640625" style="779" customWidth="1"/>
    <col min="2821" max="2821" width="0" style="779" hidden="1" customWidth="1"/>
    <col min="2822" max="2822" width="14.5546875" style="779" customWidth="1"/>
    <col min="2823" max="3072" width="9.109375" style="779"/>
    <col min="3073" max="3073" width="5.33203125" style="779" customWidth="1"/>
    <col min="3074" max="3074" width="4.5546875" style="779" customWidth="1"/>
    <col min="3075" max="3075" width="36.44140625" style="779" customWidth="1"/>
    <col min="3076" max="3076" width="48.6640625" style="779" customWidth="1"/>
    <col min="3077" max="3077" width="0" style="779" hidden="1" customWidth="1"/>
    <col min="3078" max="3078" width="14.5546875" style="779" customWidth="1"/>
    <col min="3079" max="3328" width="9.109375" style="779"/>
    <col min="3329" max="3329" width="5.33203125" style="779" customWidth="1"/>
    <col min="3330" max="3330" width="4.5546875" style="779" customWidth="1"/>
    <col min="3331" max="3331" width="36.44140625" style="779" customWidth="1"/>
    <col min="3332" max="3332" width="48.6640625" style="779" customWidth="1"/>
    <col min="3333" max="3333" width="0" style="779" hidden="1" customWidth="1"/>
    <col min="3334" max="3334" width="14.5546875" style="779" customWidth="1"/>
    <col min="3335" max="3584" width="9.109375" style="779"/>
    <col min="3585" max="3585" width="5.33203125" style="779" customWidth="1"/>
    <col min="3586" max="3586" width="4.5546875" style="779" customWidth="1"/>
    <col min="3587" max="3587" width="36.44140625" style="779" customWidth="1"/>
    <col min="3588" max="3588" width="48.6640625" style="779" customWidth="1"/>
    <col min="3589" max="3589" width="0" style="779" hidden="1" customWidth="1"/>
    <col min="3590" max="3590" width="14.5546875" style="779" customWidth="1"/>
    <col min="3591" max="3840" width="9.109375" style="779"/>
    <col min="3841" max="3841" width="5.33203125" style="779" customWidth="1"/>
    <col min="3842" max="3842" width="4.5546875" style="779" customWidth="1"/>
    <col min="3843" max="3843" width="36.44140625" style="779" customWidth="1"/>
    <col min="3844" max="3844" width="48.6640625" style="779" customWidth="1"/>
    <col min="3845" max="3845" width="0" style="779" hidden="1" customWidth="1"/>
    <col min="3846" max="3846" width="14.5546875" style="779" customWidth="1"/>
    <col min="3847" max="4096" width="9.109375" style="779"/>
    <col min="4097" max="4097" width="5.33203125" style="779" customWidth="1"/>
    <col min="4098" max="4098" width="4.5546875" style="779" customWidth="1"/>
    <col min="4099" max="4099" width="36.44140625" style="779" customWidth="1"/>
    <col min="4100" max="4100" width="48.6640625" style="779" customWidth="1"/>
    <col min="4101" max="4101" width="0" style="779" hidden="1" customWidth="1"/>
    <col min="4102" max="4102" width="14.5546875" style="779" customWidth="1"/>
    <col min="4103" max="4352" width="9.109375" style="779"/>
    <col min="4353" max="4353" width="5.33203125" style="779" customWidth="1"/>
    <col min="4354" max="4354" width="4.5546875" style="779" customWidth="1"/>
    <col min="4355" max="4355" width="36.44140625" style="779" customWidth="1"/>
    <col min="4356" max="4356" width="48.6640625" style="779" customWidth="1"/>
    <col min="4357" max="4357" width="0" style="779" hidden="1" customWidth="1"/>
    <col min="4358" max="4358" width="14.5546875" style="779" customWidth="1"/>
    <col min="4359" max="4608" width="9.109375" style="779"/>
    <col min="4609" max="4609" width="5.33203125" style="779" customWidth="1"/>
    <col min="4610" max="4610" width="4.5546875" style="779" customWidth="1"/>
    <col min="4611" max="4611" width="36.44140625" style="779" customWidth="1"/>
    <col min="4612" max="4612" width="48.6640625" style="779" customWidth="1"/>
    <col min="4613" max="4613" width="0" style="779" hidden="1" customWidth="1"/>
    <col min="4614" max="4614" width="14.5546875" style="779" customWidth="1"/>
    <col min="4615" max="4864" width="9.109375" style="779"/>
    <col min="4865" max="4865" width="5.33203125" style="779" customWidth="1"/>
    <col min="4866" max="4866" width="4.5546875" style="779" customWidth="1"/>
    <col min="4867" max="4867" width="36.44140625" style="779" customWidth="1"/>
    <col min="4868" max="4868" width="48.6640625" style="779" customWidth="1"/>
    <col min="4869" max="4869" width="0" style="779" hidden="1" customWidth="1"/>
    <col min="4870" max="4870" width="14.5546875" style="779" customWidth="1"/>
    <col min="4871" max="5120" width="9.109375" style="779"/>
    <col min="5121" max="5121" width="5.33203125" style="779" customWidth="1"/>
    <col min="5122" max="5122" width="4.5546875" style="779" customWidth="1"/>
    <col min="5123" max="5123" width="36.44140625" style="779" customWidth="1"/>
    <col min="5124" max="5124" width="48.6640625" style="779" customWidth="1"/>
    <col min="5125" max="5125" width="0" style="779" hidden="1" customWidth="1"/>
    <col min="5126" max="5126" width="14.5546875" style="779" customWidth="1"/>
    <col min="5127" max="5376" width="9.109375" style="779"/>
    <col min="5377" max="5377" width="5.33203125" style="779" customWidth="1"/>
    <col min="5378" max="5378" width="4.5546875" style="779" customWidth="1"/>
    <col min="5379" max="5379" width="36.44140625" style="779" customWidth="1"/>
    <col min="5380" max="5380" width="48.6640625" style="779" customWidth="1"/>
    <col min="5381" max="5381" width="0" style="779" hidden="1" customWidth="1"/>
    <col min="5382" max="5382" width="14.5546875" style="779" customWidth="1"/>
    <col min="5383" max="5632" width="9.109375" style="779"/>
    <col min="5633" max="5633" width="5.33203125" style="779" customWidth="1"/>
    <col min="5634" max="5634" width="4.5546875" style="779" customWidth="1"/>
    <col min="5635" max="5635" width="36.44140625" style="779" customWidth="1"/>
    <col min="5636" max="5636" width="48.6640625" style="779" customWidth="1"/>
    <col min="5637" max="5637" width="0" style="779" hidden="1" customWidth="1"/>
    <col min="5638" max="5638" width="14.5546875" style="779" customWidth="1"/>
    <col min="5639" max="5888" width="9.109375" style="779"/>
    <col min="5889" max="5889" width="5.33203125" style="779" customWidth="1"/>
    <col min="5890" max="5890" width="4.5546875" style="779" customWidth="1"/>
    <col min="5891" max="5891" width="36.44140625" style="779" customWidth="1"/>
    <col min="5892" max="5892" width="48.6640625" style="779" customWidth="1"/>
    <col min="5893" max="5893" width="0" style="779" hidden="1" customWidth="1"/>
    <col min="5894" max="5894" width="14.5546875" style="779" customWidth="1"/>
    <col min="5895" max="6144" width="9.109375" style="779"/>
    <col min="6145" max="6145" width="5.33203125" style="779" customWidth="1"/>
    <col min="6146" max="6146" width="4.5546875" style="779" customWidth="1"/>
    <col min="6147" max="6147" width="36.44140625" style="779" customWidth="1"/>
    <col min="6148" max="6148" width="48.6640625" style="779" customWidth="1"/>
    <col min="6149" max="6149" width="0" style="779" hidden="1" customWidth="1"/>
    <col min="6150" max="6150" width="14.5546875" style="779" customWidth="1"/>
    <col min="6151" max="6400" width="9.109375" style="779"/>
    <col min="6401" max="6401" width="5.33203125" style="779" customWidth="1"/>
    <col min="6402" max="6402" width="4.5546875" style="779" customWidth="1"/>
    <col min="6403" max="6403" width="36.44140625" style="779" customWidth="1"/>
    <col min="6404" max="6404" width="48.6640625" style="779" customWidth="1"/>
    <col min="6405" max="6405" width="0" style="779" hidden="1" customWidth="1"/>
    <col min="6406" max="6406" width="14.5546875" style="779" customWidth="1"/>
    <col min="6407" max="6656" width="9.109375" style="779"/>
    <col min="6657" max="6657" width="5.33203125" style="779" customWidth="1"/>
    <col min="6658" max="6658" width="4.5546875" style="779" customWidth="1"/>
    <col min="6659" max="6659" width="36.44140625" style="779" customWidth="1"/>
    <col min="6660" max="6660" width="48.6640625" style="779" customWidth="1"/>
    <col min="6661" max="6661" width="0" style="779" hidden="1" customWidth="1"/>
    <col min="6662" max="6662" width="14.5546875" style="779" customWidth="1"/>
    <col min="6663" max="6912" width="9.109375" style="779"/>
    <col min="6913" max="6913" width="5.33203125" style="779" customWidth="1"/>
    <col min="6914" max="6914" width="4.5546875" style="779" customWidth="1"/>
    <col min="6915" max="6915" width="36.44140625" style="779" customWidth="1"/>
    <col min="6916" max="6916" width="48.6640625" style="779" customWidth="1"/>
    <col min="6917" max="6917" width="0" style="779" hidden="1" customWidth="1"/>
    <col min="6918" max="6918" width="14.5546875" style="779" customWidth="1"/>
    <col min="6919" max="7168" width="9.109375" style="779"/>
    <col min="7169" max="7169" width="5.33203125" style="779" customWidth="1"/>
    <col min="7170" max="7170" width="4.5546875" style="779" customWidth="1"/>
    <col min="7171" max="7171" width="36.44140625" style="779" customWidth="1"/>
    <col min="7172" max="7172" width="48.6640625" style="779" customWidth="1"/>
    <col min="7173" max="7173" width="0" style="779" hidden="1" customWidth="1"/>
    <col min="7174" max="7174" width="14.5546875" style="779" customWidth="1"/>
    <col min="7175" max="7424" width="9.109375" style="779"/>
    <col min="7425" max="7425" width="5.33203125" style="779" customWidth="1"/>
    <col min="7426" max="7426" width="4.5546875" style="779" customWidth="1"/>
    <col min="7427" max="7427" width="36.44140625" style="779" customWidth="1"/>
    <col min="7428" max="7428" width="48.6640625" style="779" customWidth="1"/>
    <col min="7429" max="7429" width="0" style="779" hidden="1" customWidth="1"/>
    <col min="7430" max="7430" width="14.5546875" style="779" customWidth="1"/>
    <col min="7431" max="7680" width="9.109375" style="779"/>
    <col min="7681" max="7681" width="5.33203125" style="779" customWidth="1"/>
    <col min="7682" max="7682" width="4.5546875" style="779" customWidth="1"/>
    <col min="7683" max="7683" width="36.44140625" style="779" customWidth="1"/>
    <col min="7684" max="7684" width="48.6640625" style="779" customWidth="1"/>
    <col min="7685" max="7685" width="0" style="779" hidden="1" customWidth="1"/>
    <col min="7686" max="7686" width="14.5546875" style="779" customWidth="1"/>
    <col min="7687" max="7936" width="9.109375" style="779"/>
    <col min="7937" max="7937" width="5.33203125" style="779" customWidth="1"/>
    <col min="7938" max="7938" width="4.5546875" style="779" customWidth="1"/>
    <col min="7939" max="7939" width="36.44140625" style="779" customWidth="1"/>
    <col min="7940" max="7940" width="48.6640625" style="779" customWidth="1"/>
    <col min="7941" max="7941" width="0" style="779" hidden="1" customWidth="1"/>
    <col min="7942" max="7942" width="14.5546875" style="779" customWidth="1"/>
    <col min="7943" max="8192" width="9.109375" style="779"/>
    <col min="8193" max="8193" width="5.33203125" style="779" customWidth="1"/>
    <col min="8194" max="8194" width="4.5546875" style="779" customWidth="1"/>
    <col min="8195" max="8195" width="36.44140625" style="779" customWidth="1"/>
    <col min="8196" max="8196" width="48.6640625" style="779" customWidth="1"/>
    <col min="8197" max="8197" width="0" style="779" hidden="1" customWidth="1"/>
    <col min="8198" max="8198" width="14.5546875" style="779" customWidth="1"/>
    <col min="8199" max="8448" width="9.109375" style="779"/>
    <col min="8449" max="8449" width="5.33203125" style="779" customWidth="1"/>
    <col min="8450" max="8450" width="4.5546875" style="779" customWidth="1"/>
    <col min="8451" max="8451" width="36.44140625" style="779" customWidth="1"/>
    <col min="8452" max="8452" width="48.6640625" style="779" customWidth="1"/>
    <col min="8453" max="8453" width="0" style="779" hidden="1" customWidth="1"/>
    <col min="8454" max="8454" width="14.5546875" style="779" customWidth="1"/>
    <col min="8455" max="8704" width="9.109375" style="779"/>
    <col min="8705" max="8705" width="5.33203125" style="779" customWidth="1"/>
    <col min="8706" max="8706" width="4.5546875" style="779" customWidth="1"/>
    <col min="8707" max="8707" width="36.44140625" style="779" customWidth="1"/>
    <col min="8708" max="8708" width="48.6640625" style="779" customWidth="1"/>
    <col min="8709" max="8709" width="0" style="779" hidden="1" customWidth="1"/>
    <col min="8710" max="8710" width="14.5546875" style="779" customWidth="1"/>
    <col min="8711" max="8960" width="9.109375" style="779"/>
    <col min="8961" max="8961" width="5.33203125" style="779" customWidth="1"/>
    <col min="8962" max="8962" width="4.5546875" style="779" customWidth="1"/>
    <col min="8963" max="8963" width="36.44140625" style="779" customWidth="1"/>
    <col min="8964" max="8964" width="48.6640625" style="779" customWidth="1"/>
    <col min="8965" max="8965" width="0" style="779" hidden="1" customWidth="1"/>
    <col min="8966" max="8966" width="14.5546875" style="779" customWidth="1"/>
    <col min="8967" max="9216" width="9.109375" style="779"/>
    <col min="9217" max="9217" width="5.33203125" style="779" customWidth="1"/>
    <col min="9218" max="9218" width="4.5546875" style="779" customWidth="1"/>
    <col min="9219" max="9219" width="36.44140625" style="779" customWidth="1"/>
    <col min="9220" max="9220" width="48.6640625" style="779" customWidth="1"/>
    <col min="9221" max="9221" width="0" style="779" hidden="1" customWidth="1"/>
    <col min="9222" max="9222" width="14.5546875" style="779" customWidth="1"/>
    <col min="9223" max="9472" width="9.109375" style="779"/>
    <col min="9473" max="9473" width="5.33203125" style="779" customWidth="1"/>
    <col min="9474" max="9474" width="4.5546875" style="779" customWidth="1"/>
    <col min="9475" max="9475" width="36.44140625" style="779" customWidth="1"/>
    <col min="9476" max="9476" width="48.6640625" style="779" customWidth="1"/>
    <col min="9477" max="9477" width="0" style="779" hidden="1" customWidth="1"/>
    <col min="9478" max="9478" width="14.5546875" style="779" customWidth="1"/>
    <col min="9479" max="9728" width="9.109375" style="779"/>
    <col min="9729" max="9729" width="5.33203125" style="779" customWidth="1"/>
    <col min="9730" max="9730" width="4.5546875" style="779" customWidth="1"/>
    <col min="9731" max="9731" width="36.44140625" style="779" customWidth="1"/>
    <col min="9732" max="9732" width="48.6640625" style="779" customWidth="1"/>
    <col min="9733" max="9733" width="0" style="779" hidden="1" customWidth="1"/>
    <col min="9734" max="9734" width="14.5546875" style="779" customWidth="1"/>
    <col min="9735" max="9984" width="9.109375" style="779"/>
    <col min="9985" max="9985" width="5.33203125" style="779" customWidth="1"/>
    <col min="9986" max="9986" width="4.5546875" style="779" customWidth="1"/>
    <col min="9987" max="9987" width="36.44140625" style="779" customWidth="1"/>
    <col min="9988" max="9988" width="48.6640625" style="779" customWidth="1"/>
    <col min="9989" max="9989" width="0" style="779" hidden="1" customWidth="1"/>
    <col min="9990" max="9990" width="14.5546875" style="779" customWidth="1"/>
    <col min="9991" max="10240" width="9.109375" style="779"/>
    <col min="10241" max="10241" width="5.33203125" style="779" customWidth="1"/>
    <col min="10242" max="10242" width="4.5546875" style="779" customWidth="1"/>
    <col min="10243" max="10243" width="36.44140625" style="779" customWidth="1"/>
    <col min="10244" max="10244" width="48.6640625" style="779" customWidth="1"/>
    <col min="10245" max="10245" width="0" style="779" hidden="1" customWidth="1"/>
    <col min="10246" max="10246" width="14.5546875" style="779" customWidth="1"/>
    <col min="10247" max="10496" width="9.109375" style="779"/>
    <col min="10497" max="10497" width="5.33203125" style="779" customWidth="1"/>
    <col min="10498" max="10498" width="4.5546875" style="779" customWidth="1"/>
    <col min="10499" max="10499" width="36.44140625" style="779" customWidth="1"/>
    <col min="10500" max="10500" width="48.6640625" style="779" customWidth="1"/>
    <col min="10501" max="10501" width="0" style="779" hidden="1" customWidth="1"/>
    <col min="10502" max="10502" width="14.5546875" style="779" customWidth="1"/>
    <col min="10503" max="10752" width="9.109375" style="779"/>
    <col min="10753" max="10753" width="5.33203125" style="779" customWidth="1"/>
    <col min="10754" max="10754" width="4.5546875" style="779" customWidth="1"/>
    <col min="10755" max="10755" width="36.44140625" style="779" customWidth="1"/>
    <col min="10756" max="10756" width="48.6640625" style="779" customWidth="1"/>
    <col min="10757" max="10757" width="0" style="779" hidden="1" customWidth="1"/>
    <col min="10758" max="10758" width="14.5546875" style="779" customWidth="1"/>
    <col min="10759" max="11008" width="9.109375" style="779"/>
    <col min="11009" max="11009" width="5.33203125" style="779" customWidth="1"/>
    <col min="11010" max="11010" width="4.5546875" style="779" customWidth="1"/>
    <col min="11011" max="11011" width="36.44140625" style="779" customWidth="1"/>
    <col min="11012" max="11012" width="48.6640625" style="779" customWidth="1"/>
    <col min="11013" max="11013" width="0" style="779" hidden="1" customWidth="1"/>
    <col min="11014" max="11014" width="14.5546875" style="779" customWidth="1"/>
    <col min="11015" max="11264" width="9.109375" style="779"/>
    <col min="11265" max="11265" width="5.33203125" style="779" customWidth="1"/>
    <col min="11266" max="11266" width="4.5546875" style="779" customWidth="1"/>
    <col min="11267" max="11267" width="36.44140625" style="779" customWidth="1"/>
    <col min="11268" max="11268" width="48.6640625" style="779" customWidth="1"/>
    <col min="11269" max="11269" width="0" style="779" hidden="1" customWidth="1"/>
    <col min="11270" max="11270" width="14.5546875" style="779" customWidth="1"/>
    <col min="11271" max="11520" width="9.109375" style="779"/>
    <col min="11521" max="11521" width="5.33203125" style="779" customWidth="1"/>
    <col min="11522" max="11522" width="4.5546875" style="779" customWidth="1"/>
    <col min="11523" max="11523" width="36.44140625" style="779" customWidth="1"/>
    <col min="11524" max="11524" width="48.6640625" style="779" customWidth="1"/>
    <col min="11525" max="11525" width="0" style="779" hidden="1" customWidth="1"/>
    <col min="11526" max="11526" width="14.5546875" style="779" customWidth="1"/>
    <col min="11527" max="11776" width="9.109375" style="779"/>
    <col min="11777" max="11777" width="5.33203125" style="779" customWidth="1"/>
    <col min="11778" max="11778" width="4.5546875" style="779" customWidth="1"/>
    <col min="11779" max="11779" width="36.44140625" style="779" customWidth="1"/>
    <col min="11780" max="11780" width="48.6640625" style="779" customWidth="1"/>
    <col min="11781" max="11781" width="0" style="779" hidden="1" customWidth="1"/>
    <col min="11782" max="11782" width="14.5546875" style="779" customWidth="1"/>
    <col min="11783" max="12032" width="9.109375" style="779"/>
    <col min="12033" max="12033" width="5.33203125" style="779" customWidth="1"/>
    <col min="12034" max="12034" width="4.5546875" style="779" customWidth="1"/>
    <col min="12035" max="12035" width="36.44140625" style="779" customWidth="1"/>
    <col min="12036" max="12036" width="48.6640625" style="779" customWidth="1"/>
    <col min="12037" max="12037" width="0" style="779" hidden="1" customWidth="1"/>
    <col min="12038" max="12038" width="14.5546875" style="779" customWidth="1"/>
    <col min="12039" max="12288" width="9.109375" style="779"/>
    <col min="12289" max="12289" width="5.33203125" style="779" customWidth="1"/>
    <col min="12290" max="12290" width="4.5546875" style="779" customWidth="1"/>
    <col min="12291" max="12291" width="36.44140625" style="779" customWidth="1"/>
    <col min="12292" max="12292" width="48.6640625" style="779" customWidth="1"/>
    <col min="12293" max="12293" width="0" style="779" hidden="1" customWidth="1"/>
    <col min="12294" max="12294" width="14.5546875" style="779" customWidth="1"/>
    <col min="12295" max="12544" width="9.109375" style="779"/>
    <col min="12545" max="12545" width="5.33203125" style="779" customWidth="1"/>
    <col min="12546" max="12546" width="4.5546875" style="779" customWidth="1"/>
    <col min="12547" max="12547" width="36.44140625" style="779" customWidth="1"/>
    <col min="12548" max="12548" width="48.6640625" style="779" customWidth="1"/>
    <col min="12549" max="12549" width="0" style="779" hidden="1" customWidth="1"/>
    <col min="12550" max="12550" width="14.5546875" style="779" customWidth="1"/>
    <col min="12551" max="12800" width="9.109375" style="779"/>
    <col min="12801" max="12801" width="5.33203125" style="779" customWidth="1"/>
    <col min="12802" max="12802" width="4.5546875" style="779" customWidth="1"/>
    <col min="12803" max="12803" width="36.44140625" style="779" customWidth="1"/>
    <col min="12804" max="12804" width="48.6640625" style="779" customWidth="1"/>
    <col min="12805" max="12805" width="0" style="779" hidden="1" customWidth="1"/>
    <col min="12806" max="12806" width="14.5546875" style="779" customWidth="1"/>
    <col min="12807" max="13056" width="9.109375" style="779"/>
    <col min="13057" max="13057" width="5.33203125" style="779" customWidth="1"/>
    <col min="13058" max="13058" width="4.5546875" style="779" customWidth="1"/>
    <col min="13059" max="13059" width="36.44140625" style="779" customWidth="1"/>
    <col min="13060" max="13060" width="48.6640625" style="779" customWidth="1"/>
    <col min="13061" max="13061" width="0" style="779" hidden="1" customWidth="1"/>
    <col min="13062" max="13062" width="14.5546875" style="779" customWidth="1"/>
    <col min="13063" max="13312" width="9.109375" style="779"/>
    <col min="13313" max="13313" width="5.33203125" style="779" customWidth="1"/>
    <col min="13314" max="13314" width="4.5546875" style="779" customWidth="1"/>
    <col min="13315" max="13315" width="36.44140625" style="779" customWidth="1"/>
    <col min="13316" max="13316" width="48.6640625" style="779" customWidth="1"/>
    <col min="13317" max="13317" width="0" style="779" hidden="1" customWidth="1"/>
    <col min="13318" max="13318" width="14.5546875" style="779" customWidth="1"/>
    <col min="13319" max="13568" width="9.109375" style="779"/>
    <col min="13569" max="13569" width="5.33203125" style="779" customWidth="1"/>
    <col min="13570" max="13570" width="4.5546875" style="779" customWidth="1"/>
    <col min="13571" max="13571" width="36.44140625" style="779" customWidth="1"/>
    <col min="13572" max="13572" width="48.6640625" style="779" customWidth="1"/>
    <col min="13573" max="13573" width="0" style="779" hidden="1" customWidth="1"/>
    <col min="13574" max="13574" width="14.5546875" style="779" customWidth="1"/>
    <col min="13575" max="13824" width="9.109375" style="779"/>
    <col min="13825" max="13825" width="5.33203125" style="779" customWidth="1"/>
    <col min="13826" max="13826" width="4.5546875" style="779" customWidth="1"/>
    <col min="13827" max="13827" width="36.44140625" style="779" customWidth="1"/>
    <col min="13828" max="13828" width="48.6640625" style="779" customWidth="1"/>
    <col min="13829" max="13829" width="0" style="779" hidden="1" customWidth="1"/>
    <col min="13830" max="13830" width="14.5546875" style="779" customWidth="1"/>
    <col min="13831" max="14080" width="9.109375" style="779"/>
    <col min="14081" max="14081" width="5.33203125" style="779" customWidth="1"/>
    <col min="14082" max="14082" width="4.5546875" style="779" customWidth="1"/>
    <col min="14083" max="14083" width="36.44140625" style="779" customWidth="1"/>
    <col min="14084" max="14084" width="48.6640625" style="779" customWidth="1"/>
    <col min="14085" max="14085" width="0" style="779" hidden="1" customWidth="1"/>
    <col min="14086" max="14086" width="14.5546875" style="779" customWidth="1"/>
    <col min="14087" max="14336" width="9.109375" style="779"/>
    <col min="14337" max="14337" width="5.33203125" style="779" customWidth="1"/>
    <col min="14338" max="14338" width="4.5546875" style="779" customWidth="1"/>
    <col min="14339" max="14339" width="36.44140625" style="779" customWidth="1"/>
    <col min="14340" max="14340" width="48.6640625" style="779" customWidth="1"/>
    <col min="14341" max="14341" width="0" style="779" hidden="1" customWidth="1"/>
    <col min="14342" max="14342" width="14.5546875" style="779" customWidth="1"/>
    <col min="14343" max="14592" width="9.109375" style="779"/>
    <col min="14593" max="14593" width="5.33203125" style="779" customWidth="1"/>
    <col min="14594" max="14594" width="4.5546875" style="779" customWidth="1"/>
    <col min="14595" max="14595" width="36.44140625" style="779" customWidth="1"/>
    <col min="14596" max="14596" width="48.6640625" style="779" customWidth="1"/>
    <col min="14597" max="14597" width="0" style="779" hidden="1" customWidth="1"/>
    <col min="14598" max="14598" width="14.5546875" style="779" customWidth="1"/>
    <col min="14599" max="14848" width="9.109375" style="779"/>
    <col min="14849" max="14849" width="5.33203125" style="779" customWidth="1"/>
    <col min="14850" max="14850" width="4.5546875" style="779" customWidth="1"/>
    <col min="14851" max="14851" width="36.44140625" style="779" customWidth="1"/>
    <col min="14852" max="14852" width="48.6640625" style="779" customWidth="1"/>
    <col min="14853" max="14853" width="0" style="779" hidden="1" customWidth="1"/>
    <col min="14854" max="14854" width="14.5546875" style="779" customWidth="1"/>
    <col min="14855" max="15104" width="9.109375" style="779"/>
    <col min="15105" max="15105" width="5.33203125" style="779" customWidth="1"/>
    <col min="15106" max="15106" width="4.5546875" style="779" customWidth="1"/>
    <col min="15107" max="15107" width="36.44140625" style="779" customWidth="1"/>
    <col min="15108" max="15108" width="48.6640625" style="779" customWidth="1"/>
    <col min="15109" max="15109" width="0" style="779" hidden="1" customWidth="1"/>
    <col min="15110" max="15110" width="14.5546875" style="779" customWidth="1"/>
    <col min="15111" max="15360" width="9.109375" style="779"/>
    <col min="15361" max="15361" width="5.33203125" style="779" customWidth="1"/>
    <col min="15362" max="15362" width="4.5546875" style="779" customWidth="1"/>
    <col min="15363" max="15363" width="36.44140625" style="779" customWidth="1"/>
    <col min="15364" max="15364" width="48.6640625" style="779" customWidth="1"/>
    <col min="15365" max="15365" width="0" style="779" hidden="1" customWidth="1"/>
    <col min="15366" max="15366" width="14.5546875" style="779" customWidth="1"/>
    <col min="15367" max="15616" width="9.109375" style="779"/>
    <col min="15617" max="15617" width="5.33203125" style="779" customWidth="1"/>
    <col min="15618" max="15618" width="4.5546875" style="779" customWidth="1"/>
    <col min="15619" max="15619" width="36.44140625" style="779" customWidth="1"/>
    <col min="15620" max="15620" width="48.6640625" style="779" customWidth="1"/>
    <col min="15621" max="15621" width="0" style="779" hidden="1" customWidth="1"/>
    <col min="15622" max="15622" width="14.5546875" style="779" customWidth="1"/>
    <col min="15623" max="15872" width="9.109375" style="779"/>
    <col min="15873" max="15873" width="5.33203125" style="779" customWidth="1"/>
    <col min="15874" max="15874" width="4.5546875" style="779" customWidth="1"/>
    <col min="15875" max="15875" width="36.44140625" style="779" customWidth="1"/>
    <col min="15876" max="15876" width="48.6640625" style="779" customWidth="1"/>
    <col min="15877" max="15877" width="0" style="779" hidden="1" customWidth="1"/>
    <col min="15878" max="15878" width="14.5546875" style="779" customWidth="1"/>
    <col min="15879" max="16128" width="9.109375" style="779"/>
    <col min="16129" max="16129" width="5.33203125" style="779" customWidth="1"/>
    <col min="16130" max="16130" width="4.5546875" style="779" customWidth="1"/>
    <col min="16131" max="16131" width="36.44140625" style="779" customWidth="1"/>
    <col min="16132" max="16132" width="48.6640625" style="779" customWidth="1"/>
    <col min="16133" max="16133" width="0" style="779" hidden="1" customWidth="1"/>
    <col min="16134" max="16134" width="14.5546875" style="779" customWidth="1"/>
    <col min="16135" max="16384" width="9.109375" style="779"/>
  </cols>
  <sheetData>
    <row r="1" spans="1:6" ht="12.9" customHeight="1">
      <c r="A1" s="961" t="s">
        <v>3956</v>
      </c>
      <c r="B1" s="961"/>
      <c r="C1" s="961"/>
      <c r="D1" s="961"/>
      <c r="E1" s="961"/>
      <c r="F1" s="961"/>
    </row>
    <row r="2" spans="1:6" ht="12.75" customHeight="1" thickBot="1">
      <c r="C2" s="779"/>
      <c r="D2" s="779"/>
      <c r="E2" s="779"/>
      <c r="F2" s="779"/>
    </row>
    <row r="3" spans="1:6" ht="18.75" customHeight="1" thickBot="1">
      <c r="A3" s="962"/>
      <c r="B3" s="963"/>
      <c r="C3" s="708" t="s">
        <v>1576</v>
      </c>
      <c r="D3" s="710" t="s">
        <v>3037</v>
      </c>
      <c r="E3" s="711" t="s">
        <v>1128</v>
      </c>
      <c r="F3" s="711" t="s">
        <v>1128</v>
      </c>
    </row>
    <row r="4" spans="1:6" ht="16.5" customHeight="1" thickBot="1">
      <c r="A4" s="949" t="s">
        <v>1306</v>
      </c>
      <c r="B4" s="950"/>
      <c r="C4" s="950"/>
      <c r="D4" s="950"/>
      <c r="E4" s="950"/>
      <c r="F4" s="951"/>
    </row>
    <row r="5" spans="1:6" ht="12.9" customHeight="1" thickTop="1">
      <c r="A5" s="964" t="s">
        <v>3583</v>
      </c>
      <c r="B5" s="965"/>
      <c r="C5" s="968" t="s">
        <v>3584</v>
      </c>
      <c r="D5" s="780" t="s">
        <v>3104</v>
      </c>
      <c r="E5" s="781">
        <v>4651154</v>
      </c>
      <c r="F5" s="781">
        <f>+F7+F9+F11+F13+F22+F28+F33+F35+F38+F48+F50+F54+F59+F61+F63+F75+F88+F90+F93+F95+F99+F101+F103+F105+F117+F121+F124+F126+F130+F132+F134+F136+F139+F143+F145+F160+F164+F166+F173+F178+F185+F191+F195+F199+F199+F204+F206+F213+F215+F219+F221+F224+F226+F230+F233+F236+F238+F243+F251+F253+F255+F259+F262+F264+F266+F270+F276</f>
        <v>519472.28584000003</v>
      </c>
    </row>
    <row r="6" spans="1:6" ht="12.9" customHeight="1">
      <c r="A6" s="966"/>
      <c r="B6" s="967"/>
      <c r="C6" s="947"/>
      <c r="D6" s="782" t="s">
        <v>3097</v>
      </c>
      <c r="E6" s="783">
        <v>32343282.140000001</v>
      </c>
      <c r="F6" s="781">
        <f t="shared" ref="F6:F19" si="0">E6/1000</f>
        <v>32343.282139999999</v>
      </c>
    </row>
    <row r="7" spans="1:6" ht="12.9" customHeight="1">
      <c r="A7" s="966"/>
      <c r="B7" s="967"/>
      <c r="C7" s="947" t="s">
        <v>2165</v>
      </c>
      <c r="D7" s="782" t="s">
        <v>3104</v>
      </c>
      <c r="E7" s="783">
        <v>132128564.84</v>
      </c>
      <c r="F7" s="781">
        <f t="shared" si="0"/>
        <v>132128.56484000001</v>
      </c>
    </row>
    <row r="8" spans="1:6" ht="12.9" customHeight="1">
      <c r="A8" s="966"/>
      <c r="B8" s="967"/>
      <c r="C8" s="947"/>
      <c r="D8" s="782" t="s">
        <v>3097</v>
      </c>
      <c r="E8" s="783">
        <v>135549539.40000001</v>
      </c>
      <c r="F8" s="781">
        <f t="shared" si="0"/>
        <v>135549.53940000001</v>
      </c>
    </row>
    <row r="9" spans="1:6" ht="12.9" customHeight="1">
      <c r="A9" s="966"/>
      <c r="B9" s="967"/>
      <c r="C9" s="947" t="s">
        <v>2168</v>
      </c>
      <c r="D9" s="782" t="s">
        <v>3104</v>
      </c>
      <c r="E9" s="783">
        <v>79823497.340000004</v>
      </c>
      <c r="F9" s="781">
        <f t="shared" si="0"/>
        <v>79823.497340000002</v>
      </c>
    </row>
    <row r="10" spans="1:6" ht="12.9" customHeight="1">
      <c r="A10" s="966"/>
      <c r="B10" s="967"/>
      <c r="C10" s="947"/>
      <c r="D10" s="782" t="s">
        <v>3097</v>
      </c>
      <c r="E10" s="783">
        <v>154279158.59999999</v>
      </c>
      <c r="F10" s="781">
        <f t="shared" si="0"/>
        <v>154279.1586</v>
      </c>
    </row>
    <row r="11" spans="1:6" ht="12.9" customHeight="1">
      <c r="A11" s="966"/>
      <c r="B11" s="967"/>
      <c r="C11" s="947" t="s">
        <v>2171</v>
      </c>
      <c r="D11" s="782" t="s">
        <v>3104</v>
      </c>
      <c r="E11" s="783">
        <v>20246911.449999999</v>
      </c>
      <c r="F11" s="781">
        <f t="shared" si="0"/>
        <v>20246.91145</v>
      </c>
    </row>
    <row r="12" spans="1:6" ht="12.9" customHeight="1">
      <c r="A12" s="966"/>
      <c r="B12" s="967"/>
      <c r="C12" s="947"/>
      <c r="D12" s="782" t="s">
        <v>3097</v>
      </c>
      <c r="E12" s="783">
        <v>182627522.81999999</v>
      </c>
      <c r="F12" s="781">
        <f t="shared" si="0"/>
        <v>182627.52281999998</v>
      </c>
    </row>
    <row r="13" spans="1:6" ht="12" customHeight="1">
      <c r="A13" s="966"/>
      <c r="B13" s="967"/>
      <c r="C13" s="947" t="s">
        <v>2174</v>
      </c>
      <c r="D13" s="782" t="s">
        <v>3104</v>
      </c>
      <c r="E13" s="783">
        <v>54388612.270000003</v>
      </c>
      <c r="F13" s="781">
        <f t="shared" si="0"/>
        <v>54388.612270000005</v>
      </c>
    </row>
    <row r="14" spans="1:6" ht="12.75" hidden="1" customHeight="1">
      <c r="A14" s="966"/>
      <c r="B14" s="967"/>
      <c r="C14" s="947"/>
      <c r="D14" s="782" t="s">
        <v>3099</v>
      </c>
      <c r="E14" s="783">
        <v>1523921.5</v>
      </c>
      <c r="F14" s="781">
        <f t="shared" si="0"/>
        <v>1523.9214999999999</v>
      </c>
    </row>
    <row r="15" spans="1:6" ht="12.75" hidden="1" customHeight="1">
      <c r="A15" s="966"/>
      <c r="B15" s="967"/>
      <c r="C15" s="947"/>
      <c r="D15" s="782" t="s">
        <v>3097</v>
      </c>
      <c r="E15" s="783">
        <v>54147160.200000003</v>
      </c>
      <c r="F15" s="781">
        <f t="shared" si="0"/>
        <v>54147.160200000006</v>
      </c>
    </row>
    <row r="16" spans="1:6" ht="12.75" hidden="1" customHeight="1">
      <c r="A16" s="966"/>
      <c r="B16" s="967"/>
      <c r="C16" s="947" t="s">
        <v>2177</v>
      </c>
      <c r="D16" s="782" t="s">
        <v>3104</v>
      </c>
      <c r="E16" s="783">
        <v>74553507.460000008</v>
      </c>
      <c r="F16" s="781">
        <f t="shared" si="0"/>
        <v>74553.507460000008</v>
      </c>
    </row>
    <row r="17" spans="1:6" ht="12.75" hidden="1" customHeight="1">
      <c r="A17" s="966"/>
      <c r="B17" s="967"/>
      <c r="C17" s="947"/>
      <c r="D17" s="782" t="s">
        <v>3097</v>
      </c>
      <c r="E17" s="783">
        <v>119739665.8</v>
      </c>
      <c r="F17" s="781">
        <f t="shared" si="0"/>
        <v>119739.6658</v>
      </c>
    </row>
    <row r="18" spans="1:6" ht="12.75" hidden="1" customHeight="1">
      <c r="A18" s="966"/>
      <c r="B18" s="967"/>
      <c r="C18" s="947" t="s">
        <v>2180</v>
      </c>
      <c r="D18" s="782" t="s">
        <v>3104</v>
      </c>
      <c r="E18" s="783">
        <v>4389201.4000000004</v>
      </c>
      <c r="F18" s="781">
        <f t="shared" si="0"/>
        <v>4389.2013999999999</v>
      </c>
    </row>
    <row r="19" spans="1:6" ht="12.9" customHeight="1" thickBot="1">
      <c r="A19" s="966"/>
      <c r="B19" s="967"/>
      <c r="C19" s="948"/>
      <c r="D19" s="784" t="s">
        <v>3097</v>
      </c>
      <c r="E19" s="785">
        <v>129883675.34</v>
      </c>
      <c r="F19" s="781">
        <f t="shared" si="0"/>
        <v>129883.67534</v>
      </c>
    </row>
    <row r="20" spans="1:6" ht="17.25" customHeight="1" thickBot="1">
      <c r="A20" s="786" t="s">
        <v>3129</v>
      </c>
      <c r="B20" s="787"/>
      <c r="C20" s="787"/>
      <c r="D20" s="788"/>
      <c r="E20" s="789">
        <f>SUM(E5:E19)</f>
        <v>1180275374.5600002</v>
      </c>
      <c r="F20" s="789">
        <f>SUM(F5:F19)</f>
        <v>1695096.5064000001</v>
      </c>
    </row>
    <row r="21" spans="1:6" ht="16.5" customHeight="1" thickBot="1">
      <c r="A21" s="949" t="s">
        <v>1401</v>
      </c>
      <c r="B21" s="950"/>
      <c r="C21" s="950"/>
      <c r="D21" s="950"/>
      <c r="E21" s="950"/>
      <c r="F21" s="951"/>
    </row>
    <row r="22" spans="1:6" ht="24" customHeight="1" thickTop="1">
      <c r="A22" s="952" t="s">
        <v>3957</v>
      </c>
      <c r="B22" s="953"/>
      <c r="C22" s="956" t="s">
        <v>3612</v>
      </c>
      <c r="D22" s="790" t="s">
        <v>3104</v>
      </c>
      <c r="E22" s="791">
        <v>903550</v>
      </c>
      <c r="F22" s="781">
        <f>E22/1000</f>
        <v>903.55</v>
      </c>
    </row>
    <row r="23" spans="1:6" ht="24" customHeight="1" thickBot="1">
      <c r="A23" s="954"/>
      <c r="B23" s="955"/>
      <c r="C23" s="957"/>
      <c r="D23" s="792" t="s">
        <v>3097</v>
      </c>
      <c r="E23" s="793">
        <v>6000000</v>
      </c>
      <c r="F23" s="781">
        <f>E23/1000</f>
        <v>6000</v>
      </c>
    </row>
    <row r="24" spans="1:6" ht="16.5" customHeight="1" thickBot="1">
      <c r="A24" s="958" t="s">
        <v>3265</v>
      </c>
      <c r="B24" s="959"/>
      <c r="C24" s="959"/>
      <c r="D24" s="960"/>
      <c r="E24" s="789">
        <f>SUM(E22:E23)</f>
        <v>6903550</v>
      </c>
      <c r="F24" s="789">
        <f>SUM(F22:F23)</f>
        <v>6903.55</v>
      </c>
    </row>
    <row r="25" spans="1:6" ht="17.25" customHeight="1" thickBot="1">
      <c r="A25" s="949" t="s">
        <v>1699</v>
      </c>
      <c r="B25" s="950"/>
      <c r="C25" s="950"/>
      <c r="D25" s="950"/>
      <c r="E25" s="950"/>
      <c r="F25" s="951"/>
    </row>
    <row r="26" spans="1:6" ht="12.9" customHeight="1" thickTop="1">
      <c r="A26" s="981" t="s">
        <v>1578</v>
      </c>
      <c r="B26" s="969" t="s">
        <v>1591</v>
      </c>
      <c r="C26" s="972" t="s">
        <v>1580</v>
      </c>
      <c r="D26" s="794" t="s">
        <v>3104</v>
      </c>
      <c r="E26" s="795">
        <v>0</v>
      </c>
      <c r="F26" s="795">
        <f>E26/1000</f>
        <v>0</v>
      </c>
    </row>
    <row r="27" spans="1:6" ht="12.9" customHeight="1">
      <c r="A27" s="982"/>
      <c r="B27" s="970"/>
      <c r="C27" s="947"/>
      <c r="D27" s="782" t="s">
        <v>3097</v>
      </c>
      <c r="E27" s="783">
        <v>2365000</v>
      </c>
      <c r="F27" s="781">
        <f t="shared" ref="F27:F90" si="1">E27/1000</f>
        <v>2365</v>
      </c>
    </row>
    <row r="28" spans="1:6" ht="12.9" customHeight="1">
      <c r="A28" s="982"/>
      <c r="B28" s="970"/>
      <c r="C28" s="947" t="s">
        <v>1582</v>
      </c>
      <c r="D28" s="782" t="s">
        <v>3104</v>
      </c>
      <c r="E28" s="783">
        <v>1709869</v>
      </c>
      <c r="F28" s="781">
        <f t="shared" si="1"/>
        <v>1709.8689999999999</v>
      </c>
    </row>
    <row r="29" spans="1:6" ht="12.9" customHeight="1">
      <c r="A29" s="982"/>
      <c r="B29" s="970"/>
      <c r="C29" s="947"/>
      <c r="D29" s="782" t="s">
        <v>3097</v>
      </c>
      <c r="E29" s="783">
        <v>2439000</v>
      </c>
      <c r="F29" s="781">
        <f t="shared" si="1"/>
        <v>2439</v>
      </c>
    </row>
    <row r="30" spans="1:6" ht="23.25" customHeight="1">
      <c r="A30" s="982"/>
      <c r="B30" s="970"/>
      <c r="C30" s="796" t="s">
        <v>1583</v>
      </c>
      <c r="D30" s="782" t="s">
        <v>3097</v>
      </c>
      <c r="E30" s="783">
        <v>206000</v>
      </c>
      <c r="F30" s="781">
        <f t="shared" si="1"/>
        <v>206</v>
      </c>
    </row>
    <row r="31" spans="1:6" ht="12.9" customHeight="1">
      <c r="A31" s="982"/>
      <c r="B31" s="970"/>
      <c r="C31" s="947" t="s">
        <v>1584</v>
      </c>
      <c r="D31" s="782" t="s">
        <v>3104</v>
      </c>
      <c r="E31" s="783">
        <v>0</v>
      </c>
      <c r="F31" s="781">
        <f t="shared" si="1"/>
        <v>0</v>
      </c>
    </row>
    <row r="32" spans="1:6" ht="12.9" customHeight="1">
      <c r="A32" s="982"/>
      <c r="B32" s="970"/>
      <c r="C32" s="947"/>
      <c r="D32" s="782" t="s">
        <v>3097</v>
      </c>
      <c r="E32" s="783">
        <v>4345440</v>
      </c>
      <c r="F32" s="781">
        <f t="shared" si="1"/>
        <v>4345.4399999999996</v>
      </c>
    </row>
    <row r="33" spans="1:6" ht="12.9" customHeight="1">
      <c r="A33" s="982"/>
      <c r="B33" s="970"/>
      <c r="C33" s="947" t="s">
        <v>1585</v>
      </c>
      <c r="D33" s="782" t="s">
        <v>3104</v>
      </c>
      <c r="E33" s="783">
        <v>7623155</v>
      </c>
      <c r="F33" s="781">
        <f t="shared" si="1"/>
        <v>7623.1549999999997</v>
      </c>
    </row>
    <row r="34" spans="1:6" ht="12.9" customHeight="1">
      <c r="A34" s="982"/>
      <c r="B34" s="970"/>
      <c r="C34" s="947"/>
      <c r="D34" s="782" t="s">
        <v>3097</v>
      </c>
      <c r="E34" s="783">
        <v>9051000</v>
      </c>
      <c r="F34" s="781">
        <f t="shared" si="1"/>
        <v>9051</v>
      </c>
    </row>
    <row r="35" spans="1:6" ht="12.9" customHeight="1">
      <c r="A35" s="982"/>
      <c r="B35" s="970"/>
      <c r="C35" s="947" t="s">
        <v>1586</v>
      </c>
      <c r="D35" s="782" t="s">
        <v>3104</v>
      </c>
      <c r="E35" s="783">
        <v>400000</v>
      </c>
      <c r="F35" s="781">
        <f t="shared" si="1"/>
        <v>400</v>
      </c>
    </row>
    <row r="36" spans="1:6" ht="12.9" customHeight="1">
      <c r="A36" s="982"/>
      <c r="B36" s="970"/>
      <c r="C36" s="947"/>
      <c r="D36" s="782" t="s">
        <v>3097</v>
      </c>
      <c r="E36" s="783">
        <v>4043000</v>
      </c>
      <c r="F36" s="781">
        <f t="shared" si="1"/>
        <v>4043</v>
      </c>
    </row>
    <row r="37" spans="1:6" ht="12.9" customHeight="1">
      <c r="A37" s="982"/>
      <c r="B37" s="970"/>
      <c r="C37" s="796" t="s">
        <v>1587</v>
      </c>
      <c r="D37" s="782" t="s">
        <v>3097</v>
      </c>
      <c r="E37" s="783">
        <v>3657000</v>
      </c>
      <c r="F37" s="781">
        <f t="shared" si="1"/>
        <v>3657</v>
      </c>
    </row>
    <row r="38" spans="1:6" ht="12.9" customHeight="1">
      <c r="A38" s="982"/>
      <c r="B38" s="970"/>
      <c r="C38" s="947" t="s">
        <v>1588</v>
      </c>
      <c r="D38" s="782" t="s">
        <v>3104</v>
      </c>
      <c r="E38" s="783">
        <v>208008</v>
      </c>
      <c r="F38" s="781">
        <f t="shared" si="1"/>
        <v>208.00800000000001</v>
      </c>
    </row>
    <row r="39" spans="1:6" ht="12.9" customHeight="1">
      <c r="A39" s="982"/>
      <c r="B39" s="970"/>
      <c r="C39" s="947"/>
      <c r="D39" s="782" t="s">
        <v>3097</v>
      </c>
      <c r="E39" s="783">
        <v>3325000</v>
      </c>
      <c r="F39" s="781">
        <f t="shared" si="1"/>
        <v>3325</v>
      </c>
    </row>
    <row r="40" spans="1:6" ht="22.5" customHeight="1">
      <c r="A40" s="982"/>
      <c r="B40" s="970"/>
      <c r="C40" s="796" t="s">
        <v>1589</v>
      </c>
      <c r="D40" s="782" t="s">
        <v>3104</v>
      </c>
      <c r="E40" s="783">
        <v>0</v>
      </c>
      <c r="F40" s="781">
        <f t="shared" si="1"/>
        <v>0</v>
      </c>
    </row>
    <row r="41" spans="1:6" ht="12.9" customHeight="1">
      <c r="A41" s="982"/>
      <c r="B41" s="970"/>
      <c r="C41" s="947" t="s">
        <v>1592</v>
      </c>
      <c r="D41" s="782" t="s">
        <v>3104</v>
      </c>
      <c r="E41" s="783">
        <v>0</v>
      </c>
      <c r="F41" s="781">
        <f t="shared" si="1"/>
        <v>0</v>
      </c>
    </row>
    <row r="42" spans="1:6" ht="12.9" customHeight="1">
      <c r="A42" s="982"/>
      <c r="B42" s="970"/>
      <c r="C42" s="947"/>
      <c r="D42" s="782" t="s">
        <v>3097</v>
      </c>
      <c r="E42" s="783">
        <v>5506000</v>
      </c>
      <c r="F42" s="781">
        <f t="shared" si="1"/>
        <v>5506</v>
      </c>
    </row>
    <row r="43" spans="1:6" ht="12.9" customHeight="1">
      <c r="A43" s="982"/>
      <c r="B43" s="970"/>
      <c r="C43" s="947" t="s">
        <v>1593</v>
      </c>
      <c r="D43" s="782" t="s">
        <v>3104</v>
      </c>
      <c r="E43" s="783">
        <v>0</v>
      </c>
      <c r="F43" s="781">
        <f t="shared" si="1"/>
        <v>0</v>
      </c>
    </row>
    <row r="44" spans="1:6" ht="12.9" customHeight="1">
      <c r="A44" s="982"/>
      <c r="B44" s="970"/>
      <c r="C44" s="947"/>
      <c r="D44" s="782" t="s">
        <v>3097</v>
      </c>
      <c r="E44" s="783">
        <v>551000</v>
      </c>
      <c r="F44" s="781">
        <f t="shared" si="1"/>
        <v>551</v>
      </c>
    </row>
    <row r="45" spans="1:6" ht="12.9" customHeight="1">
      <c r="A45" s="982"/>
      <c r="B45" s="970"/>
      <c r="C45" s="947" t="s">
        <v>1594</v>
      </c>
      <c r="D45" s="782" t="s">
        <v>3104</v>
      </c>
      <c r="E45" s="783">
        <v>0</v>
      </c>
      <c r="F45" s="781">
        <f t="shared" si="1"/>
        <v>0</v>
      </c>
    </row>
    <row r="46" spans="1:6" ht="12.9" customHeight="1">
      <c r="A46" s="982"/>
      <c r="B46" s="970"/>
      <c r="C46" s="947"/>
      <c r="D46" s="782" t="s">
        <v>3097</v>
      </c>
      <c r="E46" s="783">
        <v>1085000</v>
      </c>
      <c r="F46" s="781">
        <f t="shared" si="1"/>
        <v>1085</v>
      </c>
    </row>
    <row r="47" spans="1:6" ht="22.5" customHeight="1">
      <c r="A47" s="982"/>
      <c r="B47" s="970"/>
      <c r="C47" s="796" t="s">
        <v>1595</v>
      </c>
      <c r="D47" s="782" t="s">
        <v>3097</v>
      </c>
      <c r="E47" s="783">
        <v>165000</v>
      </c>
      <c r="F47" s="781">
        <f t="shared" si="1"/>
        <v>165</v>
      </c>
    </row>
    <row r="48" spans="1:6" ht="12.9" customHeight="1">
      <c r="A48" s="982"/>
      <c r="B48" s="970"/>
      <c r="C48" s="947" t="s">
        <v>1597</v>
      </c>
      <c r="D48" s="782" t="s">
        <v>3104</v>
      </c>
      <c r="E48" s="783">
        <v>15500000</v>
      </c>
      <c r="F48" s="781">
        <f t="shared" si="1"/>
        <v>15500</v>
      </c>
    </row>
    <row r="49" spans="1:6" ht="12.9" customHeight="1">
      <c r="A49" s="982"/>
      <c r="B49" s="970"/>
      <c r="C49" s="947"/>
      <c r="D49" s="782" t="s">
        <v>3097</v>
      </c>
      <c r="E49" s="783">
        <v>4366306</v>
      </c>
      <c r="F49" s="781">
        <f t="shared" si="1"/>
        <v>4366.3059999999996</v>
      </c>
    </row>
    <row r="50" spans="1:6" ht="12.9" customHeight="1">
      <c r="A50" s="982"/>
      <c r="B50" s="970"/>
      <c r="C50" s="947" t="s">
        <v>1598</v>
      </c>
      <c r="D50" s="782" t="s">
        <v>3104</v>
      </c>
      <c r="E50" s="783">
        <v>588664</v>
      </c>
      <c r="F50" s="781">
        <f t="shared" si="1"/>
        <v>588.66399999999999</v>
      </c>
    </row>
    <row r="51" spans="1:6" ht="12.9" customHeight="1">
      <c r="A51" s="982"/>
      <c r="B51" s="970"/>
      <c r="C51" s="947"/>
      <c r="D51" s="782" t="s">
        <v>3097</v>
      </c>
      <c r="E51" s="783">
        <v>3327000</v>
      </c>
      <c r="F51" s="781">
        <f t="shared" si="1"/>
        <v>3327</v>
      </c>
    </row>
    <row r="52" spans="1:6" ht="12.9" customHeight="1">
      <c r="A52" s="982"/>
      <c r="B52" s="970"/>
      <c r="C52" s="947" t="s">
        <v>1599</v>
      </c>
      <c r="D52" s="782" t="s">
        <v>3104</v>
      </c>
      <c r="E52" s="783">
        <v>0</v>
      </c>
      <c r="F52" s="781">
        <f t="shared" si="1"/>
        <v>0</v>
      </c>
    </row>
    <row r="53" spans="1:6" ht="12.9" customHeight="1">
      <c r="A53" s="982"/>
      <c r="B53" s="970"/>
      <c r="C53" s="947"/>
      <c r="D53" s="782" t="s">
        <v>3097</v>
      </c>
      <c r="E53" s="783">
        <v>6409000</v>
      </c>
      <c r="F53" s="781">
        <f t="shared" si="1"/>
        <v>6409</v>
      </c>
    </row>
    <row r="54" spans="1:6" ht="12.9" customHeight="1">
      <c r="A54" s="982"/>
      <c r="B54" s="970"/>
      <c r="C54" s="947" t="s">
        <v>1600</v>
      </c>
      <c r="D54" s="782" t="s">
        <v>3104</v>
      </c>
      <c r="E54" s="783">
        <v>1344000</v>
      </c>
      <c r="F54" s="781">
        <f t="shared" si="1"/>
        <v>1344</v>
      </c>
    </row>
    <row r="55" spans="1:6" ht="12.9" customHeight="1">
      <c r="A55" s="982"/>
      <c r="B55" s="970"/>
      <c r="C55" s="947"/>
      <c r="D55" s="782" t="s">
        <v>3097</v>
      </c>
      <c r="E55" s="783">
        <v>8168000</v>
      </c>
      <c r="F55" s="781">
        <f t="shared" si="1"/>
        <v>8168</v>
      </c>
    </row>
    <row r="56" spans="1:6" ht="12.9" customHeight="1">
      <c r="A56" s="982"/>
      <c r="B56" s="970"/>
      <c r="C56" s="947" t="s">
        <v>1601</v>
      </c>
      <c r="D56" s="782" t="s">
        <v>3104</v>
      </c>
      <c r="E56" s="783">
        <v>0</v>
      </c>
      <c r="F56" s="781">
        <f t="shared" si="1"/>
        <v>0</v>
      </c>
    </row>
    <row r="57" spans="1:6" ht="12.9" customHeight="1">
      <c r="A57" s="982"/>
      <c r="B57" s="970"/>
      <c r="C57" s="947"/>
      <c r="D57" s="782" t="s">
        <v>3097</v>
      </c>
      <c r="E57" s="783">
        <v>2655000</v>
      </c>
      <c r="F57" s="781">
        <f t="shared" si="1"/>
        <v>2655</v>
      </c>
    </row>
    <row r="58" spans="1:6" ht="12.9" customHeight="1">
      <c r="A58" s="982"/>
      <c r="B58" s="970"/>
      <c r="C58" s="796" t="s">
        <v>1602</v>
      </c>
      <c r="D58" s="782" t="s">
        <v>3097</v>
      </c>
      <c r="E58" s="783">
        <v>2099000</v>
      </c>
      <c r="F58" s="781">
        <f t="shared" si="1"/>
        <v>2099</v>
      </c>
    </row>
    <row r="59" spans="1:6" ht="12.9" customHeight="1">
      <c r="A59" s="982"/>
      <c r="B59" s="970"/>
      <c r="C59" s="947" t="s">
        <v>1603</v>
      </c>
      <c r="D59" s="782" t="s">
        <v>3104</v>
      </c>
      <c r="E59" s="783">
        <v>12350000</v>
      </c>
      <c r="F59" s="781">
        <f t="shared" si="1"/>
        <v>12350</v>
      </c>
    </row>
    <row r="60" spans="1:6" ht="12.9" customHeight="1">
      <c r="A60" s="982"/>
      <c r="B60" s="970"/>
      <c r="C60" s="947"/>
      <c r="D60" s="782" t="s">
        <v>3097</v>
      </c>
      <c r="E60" s="783">
        <v>5861000</v>
      </c>
      <c r="F60" s="781">
        <f t="shared" si="1"/>
        <v>5861</v>
      </c>
    </row>
    <row r="61" spans="1:6" ht="12.9" customHeight="1">
      <c r="A61" s="982"/>
      <c r="B61" s="970"/>
      <c r="C61" s="947" t="s">
        <v>1604</v>
      </c>
      <c r="D61" s="782" t="s">
        <v>3104</v>
      </c>
      <c r="E61" s="783">
        <v>0</v>
      </c>
      <c r="F61" s="781">
        <f t="shared" si="1"/>
        <v>0</v>
      </c>
    </row>
    <row r="62" spans="1:6" ht="12.9" customHeight="1">
      <c r="A62" s="982"/>
      <c r="B62" s="970"/>
      <c r="C62" s="947"/>
      <c r="D62" s="782" t="s">
        <v>3097</v>
      </c>
      <c r="E62" s="783">
        <v>3018000</v>
      </c>
      <c r="F62" s="781">
        <f t="shared" si="1"/>
        <v>3018</v>
      </c>
    </row>
    <row r="63" spans="1:6" ht="12.9" customHeight="1">
      <c r="A63" s="982"/>
      <c r="B63" s="970"/>
      <c r="C63" s="947" t="s">
        <v>1605</v>
      </c>
      <c r="D63" s="782" t="s">
        <v>3104</v>
      </c>
      <c r="E63" s="783">
        <v>0</v>
      </c>
      <c r="F63" s="781">
        <f t="shared" si="1"/>
        <v>0</v>
      </c>
    </row>
    <row r="64" spans="1:6" ht="12.9" customHeight="1">
      <c r="A64" s="982"/>
      <c r="B64" s="970"/>
      <c r="C64" s="947"/>
      <c r="D64" s="782" t="s">
        <v>3097</v>
      </c>
      <c r="E64" s="783">
        <v>3334338</v>
      </c>
      <c r="F64" s="781">
        <f t="shared" si="1"/>
        <v>3334.3380000000002</v>
      </c>
    </row>
    <row r="65" spans="1:6" ht="12.9" customHeight="1">
      <c r="A65" s="982"/>
      <c r="B65" s="970"/>
      <c r="C65" s="796" t="s">
        <v>1606</v>
      </c>
      <c r="D65" s="782" t="s">
        <v>3097</v>
      </c>
      <c r="E65" s="783">
        <v>0</v>
      </c>
      <c r="F65" s="781">
        <f t="shared" si="1"/>
        <v>0</v>
      </c>
    </row>
    <row r="66" spans="1:6" ht="12.9" customHeight="1">
      <c r="A66" s="982"/>
      <c r="B66" s="970"/>
      <c r="C66" s="796" t="s">
        <v>1607</v>
      </c>
      <c r="D66" s="782" t="s">
        <v>3097</v>
      </c>
      <c r="E66" s="783">
        <v>0</v>
      </c>
      <c r="F66" s="781">
        <f t="shared" si="1"/>
        <v>0</v>
      </c>
    </row>
    <row r="67" spans="1:6" ht="12.9" customHeight="1">
      <c r="A67" s="982"/>
      <c r="B67" s="970"/>
      <c r="C67" s="796" t="s">
        <v>1608</v>
      </c>
      <c r="D67" s="782" t="s">
        <v>3097</v>
      </c>
      <c r="E67" s="783">
        <v>0</v>
      </c>
      <c r="F67" s="781">
        <f t="shared" si="1"/>
        <v>0</v>
      </c>
    </row>
    <row r="68" spans="1:6" ht="22.5" customHeight="1">
      <c r="A68" s="982"/>
      <c r="B68" s="970"/>
      <c r="C68" s="796" t="s">
        <v>1609</v>
      </c>
      <c r="D68" s="782" t="s">
        <v>3097</v>
      </c>
      <c r="E68" s="783">
        <v>356000</v>
      </c>
      <c r="F68" s="781">
        <f t="shared" si="1"/>
        <v>356</v>
      </c>
    </row>
    <row r="69" spans="1:6" ht="12.9" customHeight="1">
      <c r="A69" s="982"/>
      <c r="B69" s="970"/>
      <c r="C69" s="947" t="s">
        <v>1610</v>
      </c>
      <c r="D69" s="782" t="s">
        <v>3104</v>
      </c>
      <c r="E69" s="783">
        <v>0</v>
      </c>
      <c r="F69" s="781">
        <f t="shared" si="1"/>
        <v>0</v>
      </c>
    </row>
    <row r="70" spans="1:6" ht="12.9" customHeight="1">
      <c r="A70" s="982"/>
      <c r="B70" s="970"/>
      <c r="C70" s="947"/>
      <c r="D70" s="782" t="s">
        <v>3097</v>
      </c>
      <c r="E70" s="783">
        <v>1072000</v>
      </c>
      <c r="F70" s="781">
        <f t="shared" si="1"/>
        <v>1072</v>
      </c>
    </row>
    <row r="71" spans="1:6" ht="22.5" customHeight="1">
      <c r="A71" s="982"/>
      <c r="B71" s="970"/>
      <c r="C71" s="796" t="s">
        <v>1611</v>
      </c>
      <c r="D71" s="782" t="s">
        <v>3097</v>
      </c>
      <c r="E71" s="783">
        <v>555000</v>
      </c>
      <c r="F71" s="781">
        <f t="shared" si="1"/>
        <v>555</v>
      </c>
    </row>
    <row r="72" spans="1:6" ht="12.9" customHeight="1">
      <c r="A72" s="982"/>
      <c r="B72" s="970"/>
      <c r="C72" s="947" t="s">
        <v>1612</v>
      </c>
      <c r="D72" s="782" t="s">
        <v>3104</v>
      </c>
      <c r="E72" s="783">
        <v>0</v>
      </c>
      <c r="F72" s="781">
        <f t="shared" si="1"/>
        <v>0</v>
      </c>
    </row>
    <row r="73" spans="1:6" ht="12.9" customHeight="1">
      <c r="A73" s="982"/>
      <c r="B73" s="970"/>
      <c r="C73" s="947"/>
      <c r="D73" s="782" t="s">
        <v>3097</v>
      </c>
      <c r="E73" s="783">
        <v>1434000</v>
      </c>
      <c r="F73" s="781">
        <f t="shared" si="1"/>
        <v>1434</v>
      </c>
    </row>
    <row r="74" spans="1:6" ht="16.5" customHeight="1" thickBot="1">
      <c r="A74" s="982"/>
      <c r="B74" s="971"/>
      <c r="C74" s="978" t="s">
        <v>1613</v>
      </c>
      <c r="D74" s="979"/>
      <c r="E74" s="797">
        <f>SUM(E26:E73)</f>
        <v>119116780</v>
      </c>
      <c r="F74" s="797">
        <f>SUM(F26:F73)</f>
        <v>119116.78000000001</v>
      </c>
    </row>
    <row r="75" spans="1:6" ht="12.9" customHeight="1">
      <c r="A75" s="983" t="s">
        <v>1578</v>
      </c>
      <c r="B75" s="973" t="s">
        <v>3958</v>
      </c>
      <c r="C75" s="975" t="s">
        <v>1615</v>
      </c>
      <c r="D75" s="798" t="s">
        <v>3104</v>
      </c>
      <c r="E75" s="799">
        <v>872836</v>
      </c>
      <c r="F75" s="799">
        <f t="shared" si="1"/>
        <v>872.83600000000001</v>
      </c>
    </row>
    <row r="76" spans="1:6" ht="12.9" customHeight="1">
      <c r="A76" s="983"/>
      <c r="B76" s="974"/>
      <c r="C76" s="947"/>
      <c r="D76" s="782" t="s">
        <v>3097</v>
      </c>
      <c r="E76" s="783">
        <v>3004000</v>
      </c>
      <c r="F76" s="783">
        <f t="shared" si="1"/>
        <v>3004</v>
      </c>
    </row>
    <row r="77" spans="1:6" ht="12.9" customHeight="1">
      <c r="A77" s="983"/>
      <c r="B77" s="974"/>
      <c r="C77" s="947" t="s">
        <v>1616</v>
      </c>
      <c r="D77" s="782" t="s">
        <v>3104</v>
      </c>
      <c r="E77" s="783">
        <v>0</v>
      </c>
      <c r="F77" s="783">
        <f t="shared" si="1"/>
        <v>0</v>
      </c>
    </row>
    <row r="78" spans="1:6" ht="12.9" customHeight="1">
      <c r="A78" s="983"/>
      <c r="B78" s="974"/>
      <c r="C78" s="947"/>
      <c r="D78" s="782" t="s">
        <v>3097</v>
      </c>
      <c r="E78" s="783">
        <v>2021000</v>
      </c>
      <c r="F78" s="783">
        <f t="shared" si="1"/>
        <v>2021</v>
      </c>
    </row>
    <row r="79" spans="1:6" ht="12.9" customHeight="1">
      <c r="A79" s="983"/>
      <c r="B79" s="974"/>
      <c r="C79" s="947" t="s">
        <v>1617</v>
      </c>
      <c r="D79" s="782" t="s">
        <v>3104</v>
      </c>
      <c r="E79" s="783">
        <v>0</v>
      </c>
      <c r="F79" s="783">
        <f t="shared" si="1"/>
        <v>0</v>
      </c>
    </row>
    <row r="80" spans="1:6" ht="12.9" customHeight="1">
      <c r="A80" s="983"/>
      <c r="B80" s="974"/>
      <c r="C80" s="947"/>
      <c r="D80" s="782" t="s">
        <v>3097</v>
      </c>
      <c r="E80" s="783">
        <v>3806500</v>
      </c>
      <c r="F80" s="783">
        <f t="shared" si="1"/>
        <v>3806.5</v>
      </c>
    </row>
    <row r="81" spans="1:6" ht="12.9" customHeight="1">
      <c r="A81" s="983"/>
      <c r="B81" s="974"/>
      <c r="C81" s="947" t="s">
        <v>1618</v>
      </c>
      <c r="D81" s="782" t="s">
        <v>3104</v>
      </c>
      <c r="E81" s="783">
        <v>0</v>
      </c>
      <c r="F81" s="783">
        <f t="shared" si="1"/>
        <v>0</v>
      </c>
    </row>
    <row r="82" spans="1:6" ht="12.9" customHeight="1">
      <c r="A82" s="983"/>
      <c r="B82" s="974"/>
      <c r="C82" s="947"/>
      <c r="D82" s="782" t="s">
        <v>3097</v>
      </c>
      <c r="E82" s="783">
        <v>6052500</v>
      </c>
      <c r="F82" s="783">
        <f t="shared" si="1"/>
        <v>6052.5</v>
      </c>
    </row>
    <row r="83" spans="1:6" ht="12.9" customHeight="1">
      <c r="A83" s="983"/>
      <c r="B83" s="974"/>
      <c r="C83" s="947" t="s">
        <v>1619</v>
      </c>
      <c r="D83" s="782" t="s">
        <v>3104</v>
      </c>
      <c r="E83" s="783">
        <v>0</v>
      </c>
      <c r="F83" s="783">
        <f t="shared" si="1"/>
        <v>0</v>
      </c>
    </row>
    <row r="84" spans="1:6" ht="12.9" customHeight="1">
      <c r="A84" s="983"/>
      <c r="B84" s="974"/>
      <c r="C84" s="947"/>
      <c r="D84" s="782" t="s">
        <v>3097</v>
      </c>
      <c r="E84" s="783">
        <v>1358880</v>
      </c>
      <c r="F84" s="783">
        <f t="shared" si="1"/>
        <v>1358.88</v>
      </c>
    </row>
    <row r="85" spans="1:6" ht="15.75" customHeight="1">
      <c r="A85" s="983"/>
      <c r="B85" s="974"/>
      <c r="C85" s="976" t="s">
        <v>3959</v>
      </c>
      <c r="D85" s="977"/>
      <c r="E85" s="807">
        <f>SUM(E75:E84)</f>
        <v>17115716</v>
      </c>
      <c r="F85" s="807">
        <f>SUM(F75:F84)</f>
        <v>17115.716</v>
      </c>
    </row>
    <row r="86" spans="1:6" ht="12.9" customHeight="1">
      <c r="A86" s="983"/>
      <c r="B86" s="974" t="s">
        <v>3960</v>
      </c>
      <c r="C86" s="947" t="s">
        <v>1622</v>
      </c>
      <c r="D86" s="782" t="s">
        <v>3104</v>
      </c>
      <c r="E86" s="783">
        <v>0</v>
      </c>
      <c r="F86" s="783">
        <f t="shared" si="1"/>
        <v>0</v>
      </c>
    </row>
    <row r="87" spans="1:6" ht="12.9" customHeight="1">
      <c r="A87" s="983"/>
      <c r="B87" s="980"/>
      <c r="C87" s="947"/>
      <c r="D87" s="782" t="s">
        <v>3097</v>
      </c>
      <c r="E87" s="783">
        <v>4222000</v>
      </c>
      <c r="F87" s="783">
        <f t="shared" si="1"/>
        <v>4222</v>
      </c>
    </row>
    <row r="88" spans="1:6" ht="12.9" customHeight="1">
      <c r="A88" s="983"/>
      <c r="B88" s="980"/>
      <c r="C88" s="947" t="s">
        <v>1623</v>
      </c>
      <c r="D88" s="782" t="s">
        <v>3104</v>
      </c>
      <c r="E88" s="783">
        <v>499500</v>
      </c>
      <c r="F88" s="783">
        <f t="shared" si="1"/>
        <v>499.5</v>
      </c>
    </row>
    <row r="89" spans="1:6" ht="12.9" customHeight="1">
      <c r="A89" s="983"/>
      <c r="B89" s="980"/>
      <c r="C89" s="947"/>
      <c r="D89" s="782" t="s">
        <v>3097</v>
      </c>
      <c r="E89" s="783">
        <v>3648976</v>
      </c>
      <c r="F89" s="783">
        <f t="shared" si="1"/>
        <v>3648.9760000000001</v>
      </c>
    </row>
    <row r="90" spans="1:6" ht="12.9" customHeight="1">
      <c r="A90" s="983"/>
      <c r="B90" s="980"/>
      <c r="C90" s="947" t="s">
        <v>1624</v>
      </c>
      <c r="D90" s="782" t="s">
        <v>3104</v>
      </c>
      <c r="E90" s="783">
        <v>16474578.710000001</v>
      </c>
      <c r="F90" s="783">
        <f t="shared" si="1"/>
        <v>16474.578710000002</v>
      </c>
    </row>
    <row r="91" spans="1:6" ht="12.9" customHeight="1">
      <c r="A91" s="983"/>
      <c r="B91" s="980"/>
      <c r="C91" s="947"/>
      <c r="D91" s="782" t="s">
        <v>3099</v>
      </c>
      <c r="E91" s="783">
        <v>96308</v>
      </c>
      <c r="F91" s="783">
        <f t="shared" ref="F91:F154" si="2">E91/1000</f>
        <v>96.308000000000007</v>
      </c>
    </row>
    <row r="92" spans="1:6" ht="12.9" customHeight="1">
      <c r="A92" s="983"/>
      <c r="B92" s="980"/>
      <c r="C92" s="947"/>
      <c r="D92" s="782" t="s">
        <v>3097</v>
      </c>
      <c r="E92" s="783">
        <v>4194000</v>
      </c>
      <c r="F92" s="783">
        <f t="shared" si="2"/>
        <v>4194</v>
      </c>
    </row>
    <row r="93" spans="1:6" ht="12.9" customHeight="1">
      <c r="A93" s="983"/>
      <c r="B93" s="980"/>
      <c r="C93" s="947" t="s">
        <v>1625</v>
      </c>
      <c r="D93" s="782" t="s">
        <v>3104</v>
      </c>
      <c r="E93" s="783">
        <v>0</v>
      </c>
      <c r="F93" s="783">
        <f t="shared" si="2"/>
        <v>0</v>
      </c>
    </row>
    <row r="94" spans="1:6" ht="12.9" customHeight="1">
      <c r="A94" s="983"/>
      <c r="B94" s="980"/>
      <c r="C94" s="947"/>
      <c r="D94" s="782" t="s">
        <v>3097</v>
      </c>
      <c r="E94" s="783">
        <v>7753000</v>
      </c>
      <c r="F94" s="783">
        <f t="shared" si="2"/>
        <v>7753</v>
      </c>
    </row>
    <row r="95" spans="1:6" ht="12.9" customHeight="1">
      <c r="A95" s="983"/>
      <c r="B95" s="980"/>
      <c r="C95" s="947" t="s">
        <v>1626</v>
      </c>
      <c r="D95" s="782" t="s">
        <v>3104</v>
      </c>
      <c r="E95" s="783">
        <v>0</v>
      </c>
      <c r="F95" s="783">
        <f t="shared" si="2"/>
        <v>0</v>
      </c>
    </row>
    <row r="96" spans="1:6" ht="12.9" customHeight="1">
      <c r="A96" s="983"/>
      <c r="B96" s="980"/>
      <c r="C96" s="947"/>
      <c r="D96" s="782" t="s">
        <v>3097</v>
      </c>
      <c r="E96" s="783">
        <v>5854000</v>
      </c>
      <c r="F96" s="783">
        <f t="shared" si="2"/>
        <v>5854</v>
      </c>
    </row>
    <row r="97" spans="1:6" ht="12.9" customHeight="1">
      <c r="A97" s="983"/>
      <c r="B97" s="980"/>
      <c r="C97" s="947" t="s">
        <v>1627</v>
      </c>
      <c r="D97" s="782" t="s">
        <v>3104</v>
      </c>
      <c r="E97" s="783">
        <v>0</v>
      </c>
      <c r="F97" s="783">
        <f t="shared" si="2"/>
        <v>0</v>
      </c>
    </row>
    <row r="98" spans="1:6" ht="12.9" customHeight="1">
      <c r="A98" s="983"/>
      <c r="B98" s="980"/>
      <c r="C98" s="947"/>
      <c r="D98" s="782" t="s">
        <v>3097</v>
      </c>
      <c r="E98" s="783">
        <v>3079720</v>
      </c>
      <c r="F98" s="783">
        <f t="shared" si="2"/>
        <v>3079.72</v>
      </c>
    </row>
    <row r="99" spans="1:6" ht="12.9" customHeight="1">
      <c r="A99" s="983"/>
      <c r="B99" s="980"/>
      <c r="C99" s="947" t="s">
        <v>1628</v>
      </c>
      <c r="D99" s="782" t="s">
        <v>3104</v>
      </c>
      <c r="E99" s="783">
        <v>726000</v>
      </c>
      <c r="F99" s="783">
        <f t="shared" si="2"/>
        <v>726</v>
      </c>
    </row>
    <row r="100" spans="1:6" ht="12.9" customHeight="1">
      <c r="A100" s="983"/>
      <c r="B100" s="980"/>
      <c r="C100" s="947"/>
      <c r="D100" s="782" t="s">
        <v>3097</v>
      </c>
      <c r="E100" s="783">
        <v>6949000</v>
      </c>
      <c r="F100" s="783">
        <f t="shared" si="2"/>
        <v>6949</v>
      </c>
    </row>
    <row r="101" spans="1:6" ht="12.9" customHeight="1">
      <c r="A101" s="983"/>
      <c r="B101" s="980"/>
      <c r="C101" s="947" t="s">
        <v>1629</v>
      </c>
      <c r="D101" s="782" t="s">
        <v>3104</v>
      </c>
      <c r="E101" s="783">
        <v>0</v>
      </c>
      <c r="F101" s="783">
        <f t="shared" si="2"/>
        <v>0</v>
      </c>
    </row>
    <row r="102" spans="1:6" ht="12.9" customHeight="1">
      <c r="A102" s="983"/>
      <c r="B102" s="980"/>
      <c r="C102" s="947"/>
      <c r="D102" s="782" t="s">
        <v>3097</v>
      </c>
      <c r="E102" s="783">
        <v>3477000</v>
      </c>
      <c r="F102" s="783">
        <f t="shared" si="2"/>
        <v>3477</v>
      </c>
    </row>
    <row r="103" spans="1:6" ht="12.9" customHeight="1">
      <c r="A103" s="983"/>
      <c r="B103" s="980"/>
      <c r="C103" s="947" t="s">
        <v>1630</v>
      </c>
      <c r="D103" s="782" t="s">
        <v>3104</v>
      </c>
      <c r="E103" s="783">
        <v>0</v>
      </c>
      <c r="F103" s="783">
        <f t="shared" si="2"/>
        <v>0</v>
      </c>
    </row>
    <row r="104" spans="1:6" ht="12.9" customHeight="1">
      <c r="A104" s="983"/>
      <c r="B104" s="980"/>
      <c r="C104" s="947"/>
      <c r="D104" s="782" t="s">
        <v>3097</v>
      </c>
      <c r="E104" s="783">
        <v>3257000</v>
      </c>
      <c r="F104" s="783">
        <f t="shared" si="2"/>
        <v>3257</v>
      </c>
    </row>
    <row r="105" spans="1:6" ht="12.9" customHeight="1">
      <c r="A105" s="983"/>
      <c r="B105" s="980"/>
      <c r="C105" s="947" t="s">
        <v>1631</v>
      </c>
      <c r="D105" s="782" t="s">
        <v>3104</v>
      </c>
      <c r="E105" s="783">
        <v>0</v>
      </c>
      <c r="F105" s="783">
        <f t="shared" si="2"/>
        <v>0</v>
      </c>
    </row>
    <row r="106" spans="1:6" ht="12.9" customHeight="1">
      <c r="A106" s="983"/>
      <c r="B106" s="980"/>
      <c r="C106" s="947"/>
      <c r="D106" s="782" t="s">
        <v>3097</v>
      </c>
      <c r="E106" s="783">
        <v>2933000</v>
      </c>
      <c r="F106" s="783">
        <f t="shared" si="2"/>
        <v>2933</v>
      </c>
    </row>
    <row r="107" spans="1:6" ht="12.9" customHeight="1">
      <c r="A107" s="983"/>
      <c r="B107" s="980"/>
      <c r="C107" s="947" t="s">
        <v>1632</v>
      </c>
      <c r="D107" s="782" t="s">
        <v>3104</v>
      </c>
      <c r="E107" s="783">
        <v>0</v>
      </c>
      <c r="F107" s="783">
        <f t="shared" si="2"/>
        <v>0</v>
      </c>
    </row>
    <row r="108" spans="1:6" ht="12.9" customHeight="1">
      <c r="A108" s="983"/>
      <c r="B108" s="980"/>
      <c r="C108" s="947"/>
      <c r="D108" s="782" t="s">
        <v>3097</v>
      </c>
      <c r="E108" s="783">
        <v>3220000</v>
      </c>
      <c r="F108" s="783">
        <f t="shared" si="2"/>
        <v>3220</v>
      </c>
    </row>
    <row r="109" spans="1:6" ht="12.9" customHeight="1">
      <c r="A109" s="983"/>
      <c r="B109" s="980"/>
      <c r="C109" s="947" t="s">
        <v>1633</v>
      </c>
      <c r="D109" s="782" t="s">
        <v>3104</v>
      </c>
      <c r="E109" s="783">
        <v>0</v>
      </c>
      <c r="F109" s="783">
        <f t="shared" si="2"/>
        <v>0</v>
      </c>
    </row>
    <row r="110" spans="1:6" ht="12.9" customHeight="1">
      <c r="A110" s="983"/>
      <c r="B110" s="980"/>
      <c r="C110" s="947"/>
      <c r="D110" s="782" t="s">
        <v>3097</v>
      </c>
      <c r="E110" s="783">
        <v>1654000</v>
      </c>
      <c r="F110" s="783">
        <f t="shared" si="2"/>
        <v>1654</v>
      </c>
    </row>
    <row r="111" spans="1:6" ht="12.9" customHeight="1">
      <c r="A111" s="983"/>
      <c r="B111" s="980"/>
      <c r="C111" s="947" t="s">
        <v>1634</v>
      </c>
      <c r="D111" s="782" t="s">
        <v>3104</v>
      </c>
      <c r="E111" s="783">
        <v>0</v>
      </c>
      <c r="F111" s="783">
        <f t="shared" si="2"/>
        <v>0</v>
      </c>
    </row>
    <row r="112" spans="1:6" ht="12.9" customHeight="1">
      <c r="A112" s="983"/>
      <c r="B112" s="980"/>
      <c r="C112" s="947"/>
      <c r="D112" s="782" t="s">
        <v>3097</v>
      </c>
      <c r="E112" s="783">
        <v>5099000</v>
      </c>
      <c r="F112" s="783">
        <f t="shared" si="2"/>
        <v>5099</v>
      </c>
    </row>
    <row r="113" spans="1:6" ht="12.9" customHeight="1">
      <c r="A113" s="983"/>
      <c r="B113" s="980"/>
      <c r="C113" s="947" t="s">
        <v>1636</v>
      </c>
      <c r="D113" s="782" t="s">
        <v>3104</v>
      </c>
      <c r="E113" s="783">
        <v>0</v>
      </c>
      <c r="F113" s="783">
        <f t="shared" si="2"/>
        <v>0</v>
      </c>
    </row>
    <row r="114" spans="1:6" ht="12.9" customHeight="1">
      <c r="A114" s="983"/>
      <c r="B114" s="980"/>
      <c r="C114" s="947"/>
      <c r="D114" s="782" t="s">
        <v>3097</v>
      </c>
      <c r="E114" s="783">
        <v>8744000</v>
      </c>
      <c r="F114" s="783">
        <f t="shared" si="2"/>
        <v>8744</v>
      </c>
    </row>
    <row r="115" spans="1:6" ht="12.9" customHeight="1">
      <c r="A115" s="983"/>
      <c r="B115" s="980"/>
      <c r="C115" s="947" t="s">
        <v>1637</v>
      </c>
      <c r="D115" s="782" t="s">
        <v>3104</v>
      </c>
      <c r="E115" s="783">
        <v>0</v>
      </c>
      <c r="F115" s="783">
        <f t="shared" si="2"/>
        <v>0</v>
      </c>
    </row>
    <row r="116" spans="1:6" ht="12.9" customHeight="1">
      <c r="A116" s="983"/>
      <c r="B116" s="980"/>
      <c r="C116" s="947"/>
      <c r="D116" s="782" t="s">
        <v>3097</v>
      </c>
      <c r="E116" s="783">
        <v>2923000</v>
      </c>
      <c r="F116" s="783">
        <f t="shared" si="2"/>
        <v>2923</v>
      </c>
    </row>
    <row r="117" spans="1:6" ht="12.9" customHeight="1">
      <c r="A117" s="983"/>
      <c r="B117" s="980"/>
      <c r="C117" s="947" t="s">
        <v>1638</v>
      </c>
      <c r="D117" s="782" t="s">
        <v>3104</v>
      </c>
      <c r="E117" s="783">
        <v>14389755</v>
      </c>
      <c r="F117" s="783">
        <f t="shared" si="2"/>
        <v>14389.754999999999</v>
      </c>
    </row>
    <row r="118" spans="1:6" ht="12.9" customHeight="1">
      <c r="A118" s="983"/>
      <c r="B118" s="980"/>
      <c r="C118" s="947"/>
      <c r="D118" s="782" t="s">
        <v>3097</v>
      </c>
      <c r="E118" s="783">
        <v>4246000</v>
      </c>
      <c r="F118" s="783">
        <f t="shared" si="2"/>
        <v>4246</v>
      </c>
    </row>
    <row r="119" spans="1:6" ht="12.9" customHeight="1">
      <c r="A119" s="983"/>
      <c r="B119" s="980"/>
      <c r="C119" s="947" t="s">
        <v>1639</v>
      </c>
      <c r="D119" s="782" t="s">
        <v>3104</v>
      </c>
      <c r="E119" s="783">
        <v>0</v>
      </c>
      <c r="F119" s="783">
        <f t="shared" si="2"/>
        <v>0</v>
      </c>
    </row>
    <row r="120" spans="1:6" ht="12.9" customHeight="1">
      <c r="A120" s="983"/>
      <c r="B120" s="980"/>
      <c r="C120" s="947"/>
      <c r="D120" s="782" t="s">
        <v>3097</v>
      </c>
      <c r="E120" s="783">
        <v>2700000</v>
      </c>
      <c r="F120" s="783">
        <f t="shared" si="2"/>
        <v>2700</v>
      </c>
    </row>
    <row r="121" spans="1:6" ht="12.9" customHeight="1">
      <c r="A121" s="983"/>
      <c r="B121" s="980"/>
      <c r="C121" s="947" t="s">
        <v>1640</v>
      </c>
      <c r="D121" s="782" t="s">
        <v>3104</v>
      </c>
      <c r="E121" s="783">
        <v>800000</v>
      </c>
      <c r="F121" s="783">
        <f t="shared" si="2"/>
        <v>800</v>
      </c>
    </row>
    <row r="122" spans="1:6" ht="12.9" customHeight="1">
      <c r="A122" s="983"/>
      <c r="B122" s="980"/>
      <c r="C122" s="947"/>
      <c r="D122" s="782" t="s">
        <v>3097</v>
      </c>
      <c r="E122" s="783">
        <v>13970000</v>
      </c>
      <c r="F122" s="783">
        <f t="shared" si="2"/>
        <v>13970</v>
      </c>
    </row>
    <row r="123" spans="1:6" ht="12.9" customHeight="1">
      <c r="A123" s="983"/>
      <c r="B123" s="980"/>
      <c r="C123" s="796" t="s">
        <v>1641</v>
      </c>
      <c r="D123" s="782" t="s">
        <v>3104</v>
      </c>
      <c r="E123" s="783">
        <v>0</v>
      </c>
      <c r="F123" s="783">
        <f t="shared" si="2"/>
        <v>0</v>
      </c>
    </row>
    <row r="124" spans="1:6" ht="12.9" customHeight="1">
      <c r="A124" s="983"/>
      <c r="B124" s="980"/>
      <c r="C124" s="947" t="s">
        <v>1642</v>
      </c>
      <c r="D124" s="782" t="s">
        <v>3104</v>
      </c>
      <c r="E124" s="783">
        <v>540000</v>
      </c>
      <c r="F124" s="783">
        <f t="shared" si="2"/>
        <v>540</v>
      </c>
    </row>
    <row r="125" spans="1:6" ht="12.9" customHeight="1">
      <c r="A125" s="983"/>
      <c r="B125" s="980"/>
      <c r="C125" s="947"/>
      <c r="D125" s="782" t="s">
        <v>3097</v>
      </c>
      <c r="E125" s="783">
        <v>6042000</v>
      </c>
      <c r="F125" s="783">
        <f t="shared" si="2"/>
        <v>6042</v>
      </c>
    </row>
    <row r="126" spans="1:6" ht="12.9" customHeight="1">
      <c r="A126" s="983"/>
      <c r="B126" s="980"/>
      <c r="C126" s="947" t="s">
        <v>1643</v>
      </c>
      <c r="D126" s="782" t="s">
        <v>3104</v>
      </c>
      <c r="E126" s="783">
        <v>4000000</v>
      </c>
      <c r="F126" s="783">
        <f t="shared" si="2"/>
        <v>4000</v>
      </c>
    </row>
    <row r="127" spans="1:6" ht="12.9" customHeight="1">
      <c r="A127" s="983"/>
      <c r="B127" s="980"/>
      <c r="C127" s="947"/>
      <c r="D127" s="782" t="s">
        <v>3097</v>
      </c>
      <c r="E127" s="783">
        <v>20163098</v>
      </c>
      <c r="F127" s="783">
        <f t="shared" si="2"/>
        <v>20163.098000000002</v>
      </c>
    </row>
    <row r="128" spans="1:6" ht="12.9" customHeight="1">
      <c r="A128" s="983"/>
      <c r="B128" s="980"/>
      <c r="C128" s="947" t="s">
        <v>1644</v>
      </c>
      <c r="D128" s="782" t="s">
        <v>3104</v>
      </c>
      <c r="E128" s="783">
        <v>0</v>
      </c>
      <c r="F128" s="783">
        <f t="shared" si="2"/>
        <v>0</v>
      </c>
    </row>
    <row r="129" spans="1:6" ht="12.9" customHeight="1">
      <c r="A129" s="983"/>
      <c r="B129" s="980"/>
      <c r="C129" s="947"/>
      <c r="D129" s="782" t="s">
        <v>3097</v>
      </c>
      <c r="E129" s="783">
        <v>4869000</v>
      </c>
      <c r="F129" s="783">
        <f t="shared" si="2"/>
        <v>4869</v>
      </c>
    </row>
    <row r="130" spans="1:6" ht="12.9" customHeight="1">
      <c r="A130" s="983"/>
      <c r="B130" s="980"/>
      <c r="C130" s="947" t="s">
        <v>1645</v>
      </c>
      <c r="D130" s="782" t="s">
        <v>3104</v>
      </c>
      <c r="E130" s="783">
        <v>6278000</v>
      </c>
      <c r="F130" s="783">
        <f t="shared" si="2"/>
        <v>6278</v>
      </c>
    </row>
    <row r="131" spans="1:6" ht="12.9" customHeight="1">
      <c r="A131" s="983"/>
      <c r="B131" s="980"/>
      <c r="C131" s="947"/>
      <c r="D131" s="782" t="s">
        <v>3097</v>
      </c>
      <c r="E131" s="783">
        <v>8266000</v>
      </c>
      <c r="F131" s="783">
        <f t="shared" si="2"/>
        <v>8266</v>
      </c>
    </row>
    <row r="132" spans="1:6" ht="12.9" customHeight="1">
      <c r="A132" s="983"/>
      <c r="B132" s="980"/>
      <c r="C132" s="947" t="s">
        <v>1646</v>
      </c>
      <c r="D132" s="782" t="s">
        <v>3104</v>
      </c>
      <c r="E132" s="783">
        <v>1799999</v>
      </c>
      <c r="F132" s="783">
        <f t="shared" si="2"/>
        <v>1799.999</v>
      </c>
    </row>
    <row r="133" spans="1:6" ht="12.9" customHeight="1">
      <c r="A133" s="983"/>
      <c r="B133" s="980"/>
      <c r="C133" s="947"/>
      <c r="D133" s="782" t="s">
        <v>3097</v>
      </c>
      <c r="E133" s="783">
        <v>4478000</v>
      </c>
      <c r="F133" s="783">
        <f t="shared" si="2"/>
        <v>4478</v>
      </c>
    </row>
    <row r="134" spans="1:6" ht="12.9" customHeight="1">
      <c r="A134" s="983"/>
      <c r="B134" s="980"/>
      <c r="C134" s="947" t="s">
        <v>1647</v>
      </c>
      <c r="D134" s="782" t="s">
        <v>3104</v>
      </c>
      <c r="E134" s="783">
        <v>0</v>
      </c>
      <c r="F134" s="783">
        <f t="shared" si="2"/>
        <v>0</v>
      </c>
    </row>
    <row r="135" spans="1:6" ht="12.9" customHeight="1">
      <c r="A135" s="983"/>
      <c r="B135" s="980"/>
      <c r="C135" s="947"/>
      <c r="D135" s="782" t="s">
        <v>3097</v>
      </c>
      <c r="E135" s="783">
        <v>3149000</v>
      </c>
      <c r="F135" s="783">
        <f t="shared" si="2"/>
        <v>3149</v>
      </c>
    </row>
    <row r="136" spans="1:6" ht="12.9" customHeight="1">
      <c r="A136" s="983"/>
      <c r="B136" s="980"/>
      <c r="C136" s="947" t="s">
        <v>1648</v>
      </c>
      <c r="D136" s="782" t="s">
        <v>3104</v>
      </c>
      <c r="E136" s="783">
        <v>411960</v>
      </c>
      <c r="F136" s="783">
        <f t="shared" si="2"/>
        <v>411.96</v>
      </c>
    </row>
    <row r="137" spans="1:6" ht="12.9" customHeight="1">
      <c r="A137" s="983"/>
      <c r="B137" s="980"/>
      <c r="C137" s="947"/>
      <c r="D137" s="782" t="s">
        <v>3097</v>
      </c>
      <c r="E137" s="783">
        <v>11268500</v>
      </c>
      <c r="F137" s="783">
        <f t="shared" si="2"/>
        <v>11268.5</v>
      </c>
    </row>
    <row r="138" spans="1:6" ht="12.9" customHeight="1">
      <c r="A138" s="983"/>
      <c r="B138" s="980"/>
      <c r="C138" s="796" t="s">
        <v>1649</v>
      </c>
      <c r="D138" s="782" t="s">
        <v>3097</v>
      </c>
      <c r="E138" s="783">
        <v>0</v>
      </c>
      <c r="F138" s="783">
        <f t="shared" si="2"/>
        <v>0</v>
      </c>
    </row>
    <row r="139" spans="1:6" ht="12.9" customHeight="1">
      <c r="A139" s="983"/>
      <c r="B139" s="980"/>
      <c r="C139" s="796" t="s">
        <v>3961</v>
      </c>
      <c r="D139" s="782" t="s">
        <v>3104</v>
      </c>
      <c r="E139" s="783">
        <v>120000</v>
      </c>
      <c r="F139" s="783">
        <f t="shared" si="2"/>
        <v>120</v>
      </c>
    </row>
    <row r="140" spans="1:6" ht="12.9" customHeight="1">
      <c r="A140" s="983"/>
      <c r="B140" s="980"/>
      <c r="C140" s="796" t="s">
        <v>1650</v>
      </c>
      <c r="D140" s="782" t="s">
        <v>3097</v>
      </c>
      <c r="E140" s="783">
        <v>0</v>
      </c>
      <c r="F140" s="783">
        <f t="shared" si="2"/>
        <v>0</v>
      </c>
    </row>
    <row r="141" spans="1:6" ht="12.9" customHeight="1">
      <c r="A141" s="983"/>
      <c r="B141" s="980"/>
      <c r="C141" s="947" t="s">
        <v>1651</v>
      </c>
      <c r="D141" s="782" t="s">
        <v>3104</v>
      </c>
      <c r="E141" s="783">
        <v>0</v>
      </c>
      <c r="F141" s="783">
        <f t="shared" si="2"/>
        <v>0</v>
      </c>
    </row>
    <row r="142" spans="1:6" ht="12.9" customHeight="1">
      <c r="A142" s="983"/>
      <c r="B142" s="980"/>
      <c r="C142" s="947"/>
      <c r="D142" s="782" t="s">
        <v>3097</v>
      </c>
      <c r="E142" s="783">
        <v>0</v>
      </c>
      <c r="F142" s="783">
        <f t="shared" si="2"/>
        <v>0</v>
      </c>
    </row>
    <row r="143" spans="1:6" ht="12.9" customHeight="1">
      <c r="A143" s="983"/>
      <c r="B143" s="980"/>
      <c r="C143" s="947" t="s">
        <v>1652</v>
      </c>
      <c r="D143" s="782" t="s">
        <v>3104</v>
      </c>
      <c r="E143" s="783">
        <v>1000000</v>
      </c>
      <c r="F143" s="783">
        <f t="shared" si="2"/>
        <v>1000</v>
      </c>
    </row>
    <row r="144" spans="1:6" ht="12.9" customHeight="1">
      <c r="A144" s="983"/>
      <c r="B144" s="980"/>
      <c r="C144" s="947"/>
      <c r="D144" s="782" t="s">
        <v>3097</v>
      </c>
      <c r="E144" s="783">
        <v>200000</v>
      </c>
      <c r="F144" s="783">
        <f t="shared" si="2"/>
        <v>200</v>
      </c>
    </row>
    <row r="145" spans="1:6" ht="12.9" customHeight="1">
      <c r="A145" s="983"/>
      <c r="B145" s="980"/>
      <c r="C145" s="947" t="s">
        <v>1653</v>
      </c>
      <c r="D145" s="782" t="s">
        <v>3104</v>
      </c>
      <c r="E145" s="783">
        <v>130000</v>
      </c>
      <c r="F145" s="783">
        <f t="shared" si="2"/>
        <v>130</v>
      </c>
    </row>
    <row r="146" spans="1:6" ht="12.9" customHeight="1">
      <c r="A146" s="983"/>
      <c r="B146" s="980"/>
      <c r="C146" s="947"/>
      <c r="D146" s="782" t="s">
        <v>3097</v>
      </c>
      <c r="E146" s="783">
        <v>0</v>
      </c>
      <c r="F146" s="783">
        <f t="shared" si="2"/>
        <v>0</v>
      </c>
    </row>
    <row r="147" spans="1:6" ht="12.9" customHeight="1">
      <c r="A147" s="983"/>
      <c r="B147" s="980"/>
      <c r="C147" s="947" t="s">
        <v>1654</v>
      </c>
      <c r="D147" s="782" t="s">
        <v>3104</v>
      </c>
      <c r="E147" s="783">
        <v>0</v>
      </c>
      <c r="F147" s="783">
        <f t="shared" si="2"/>
        <v>0</v>
      </c>
    </row>
    <row r="148" spans="1:6" ht="12.9" customHeight="1">
      <c r="A148" s="983"/>
      <c r="B148" s="980"/>
      <c r="C148" s="947"/>
      <c r="D148" s="782" t="s">
        <v>3097</v>
      </c>
      <c r="E148" s="783">
        <v>4575000</v>
      </c>
      <c r="F148" s="783">
        <f t="shared" si="2"/>
        <v>4575</v>
      </c>
    </row>
    <row r="149" spans="1:6" ht="12.9" customHeight="1">
      <c r="A149" s="983"/>
      <c r="B149" s="980"/>
      <c r="C149" s="947" t="s">
        <v>1655</v>
      </c>
      <c r="D149" s="782" t="s">
        <v>3104</v>
      </c>
      <c r="E149" s="783">
        <v>0</v>
      </c>
      <c r="F149" s="783">
        <f t="shared" si="2"/>
        <v>0</v>
      </c>
    </row>
    <row r="150" spans="1:6" ht="12.9" customHeight="1">
      <c r="A150" s="983"/>
      <c r="B150" s="980"/>
      <c r="C150" s="947"/>
      <c r="D150" s="782" t="s">
        <v>3097</v>
      </c>
      <c r="E150" s="783">
        <v>2897282</v>
      </c>
      <c r="F150" s="783">
        <f t="shared" si="2"/>
        <v>2897.2820000000002</v>
      </c>
    </row>
    <row r="151" spans="1:6" ht="23.25" customHeight="1">
      <c r="A151" s="983" t="s">
        <v>1578</v>
      </c>
      <c r="B151" s="974" t="s">
        <v>3960</v>
      </c>
      <c r="C151" s="796" t="s">
        <v>1656</v>
      </c>
      <c r="D151" s="782" t="s">
        <v>3097</v>
      </c>
      <c r="E151" s="783">
        <v>2991000</v>
      </c>
      <c r="F151" s="783">
        <f t="shared" si="2"/>
        <v>2991</v>
      </c>
    </row>
    <row r="152" spans="1:6" ht="12.9" customHeight="1">
      <c r="A152" s="982"/>
      <c r="B152" s="980"/>
      <c r="C152" s="947" t="s">
        <v>1657</v>
      </c>
      <c r="D152" s="782" t="s">
        <v>3104</v>
      </c>
      <c r="E152" s="783">
        <v>0</v>
      </c>
      <c r="F152" s="783">
        <f t="shared" si="2"/>
        <v>0</v>
      </c>
    </row>
    <row r="153" spans="1:6" ht="12.9" customHeight="1">
      <c r="A153" s="982"/>
      <c r="B153" s="980"/>
      <c r="C153" s="947"/>
      <c r="D153" s="782" t="s">
        <v>3099</v>
      </c>
      <c r="E153" s="783">
        <v>390752</v>
      </c>
      <c r="F153" s="783">
        <f t="shared" si="2"/>
        <v>390.75200000000001</v>
      </c>
    </row>
    <row r="154" spans="1:6" ht="12.9" customHeight="1">
      <c r="A154" s="982"/>
      <c r="B154" s="980"/>
      <c r="C154" s="947"/>
      <c r="D154" s="782" t="s">
        <v>3097</v>
      </c>
      <c r="E154" s="783">
        <v>1414360</v>
      </c>
      <c r="F154" s="783">
        <f t="shared" si="2"/>
        <v>1414.36</v>
      </c>
    </row>
    <row r="155" spans="1:6" ht="22.5" customHeight="1">
      <c r="A155" s="982"/>
      <c r="B155" s="980"/>
      <c r="C155" s="796" t="s">
        <v>1658</v>
      </c>
      <c r="D155" s="782" t="s">
        <v>3097</v>
      </c>
      <c r="E155" s="783">
        <v>3388000</v>
      </c>
      <c r="F155" s="783">
        <f t="shared" ref="F155:F209" si="3">E155/1000</f>
        <v>3388</v>
      </c>
    </row>
    <row r="156" spans="1:6" ht="12.9" customHeight="1">
      <c r="A156" s="982"/>
      <c r="B156" s="980"/>
      <c r="C156" s="796" t="s">
        <v>1659</v>
      </c>
      <c r="D156" s="782" t="s">
        <v>3097</v>
      </c>
      <c r="E156" s="783">
        <v>3249000</v>
      </c>
      <c r="F156" s="783">
        <f t="shared" si="3"/>
        <v>3249</v>
      </c>
    </row>
    <row r="157" spans="1:6" ht="14.25" customHeight="1">
      <c r="A157" s="982"/>
      <c r="B157" s="980"/>
      <c r="C157" s="976" t="s">
        <v>3962</v>
      </c>
      <c r="D157" s="977"/>
      <c r="E157" s="807">
        <f>SUM(E86:E156)</f>
        <v>212530788.71000001</v>
      </c>
      <c r="F157" s="807">
        <f>SUM(F86:F156)</f>
        <v>212530.78870999999</v>
      </c>
    </row>
    <row r="158" spans="1:6" ht="12.9" customHeight="1">
      <c r="A158" s="982"/>
      <c r="B158" s="974" t="s">
        <v>3963</v>
      </c>
      <c r="C158" s="947" t="s">
        <v>1662</v>
      </c>
      <c r="D158" s="782" t="s">
        <v>3104</v>
      </c>
      <c r="E158" s="783">
        <v>0</v>
      </c>
      <c r="F158" s="783">
        <f t="shared" si="3"/>
        <v>0</v>
      </c>
    </row>
    <row r="159" spans="1:6" ht="12.9" customHeight="1">
      <c r="A159" s="982"/>
      <c r="B159" s="974"/>
      <c r="C159" s="947"/>
      <c r="D159" s="782" t="s">
        <v>3097</v>
      </c>
      <c r="E159" s="783">
        <v>1396000</v>
      </c>
      <c r="F159" s="783">
        <f t="shared" si="3"/>
        <v>1396</v>
      </c>
    </row>
    <row r="160" spans="1:6" ht="12.9" customHeight="1">
      <c r="A160" s="982"/>
      <c r="B160" s="974"/>
      <c r="C160" s="947" t="s">
        <v>1663</v>
      </c>
      <c r="D160" s="782" t="s">
        <v>3104</v>
      </c>
      <c r="E160" s="783">
        <v>1150000</v>
      </c>
      <c r="F160" s="783">
        <f t="shared" si="3"/>
        <v>1150</v>
      </c>
    </row>
    <row r="161" spans="1:6" ht="12.9" customHeight="1">
      <c r="A161" s="982"/>
      <c r="B161" s="974"/>
      <c r="C161" s="947"/>
      <c r="D161" s="782" t="s">
        <v>3099</v>
      </c>
      <c r="E161" s="783">
        <v>610000</v>
      </c>
      <c r="F161" s="783">
        <f t="shared" si="3"/>
        <v>610</v>
      </c>
    </row>
    <row r="162" spans="1:6" ht="12.9" customHeight="1">
      <c r="A162" s="982"/>
      <c r="B162" s="974"/>
      <c r="C162" s="947"/>
      <c r="D162" s="782" t="s">
        <v>3097</v>
      </c>
      <c r="E162" s="783">
        <v>2395000</v>
      </c>
      <c r="F162" s="783">
        <f t="shared" si="3"/>
        <v>2395</v>
      </c>
    </row>
    <row r="163" spans="1:6" ht="12.9" customHeight="1">
      <c r="A163" s="982"/>
      <c r="B163" s="974"/>
      <c r="C163" s="796" t="s">
        <v>1664</v>
      </c>
      <c r="D163" s="782" t="s">
        <v>3097</v>
      </c>
      <c r="E163" s="783">
        <v>2021000</v>
      </c>
      <c r="F163" s="783">
        <f t="shared" si="3"/>
        <v>2021</v>
      </c>
    </row>
    <row r="164" spans="1:6" ht="12.9" customHeight="1">
      <c r="A164" s="982"/>
      <c r="B164" s="974"/>
      <c r="C164" s="947" t="s">
        <v>1665</v>
      </c>
      <c r="D164" s="782" t="s">
        <v>3104</v>
      </c>
      <c r="E164" s="783">
        <v>0</v>
      </c>
      <c r="F164" s="783">
        <f t="shared" si="3"/>
        <v>0</v>
      </c>
    </row>
    <row r="165" spans="1:6" ht="12.9" customHeight="1">
      <c r="A165" s="982"/>
      <c r="B165" s="974"/>
      <c r="C165" s="947"/>
      <c r="D165" s="782" t="s">
        <v>3097</v>
      </c>
      <c r="E165" s="783">
        <v>4063500</v>
      </c>
      <c r="F165" s="783">
        <f t="shared" si="3"/>
        <v>4063.5</v>
      </c>
    </row>
    <row r="166" spans="1:6" ht="12.9" customHeight="1">
      <c r="A166" s="982"/>
      <c r="B166" s="974"/>
      <c r="C166" s="947" t="s">
        <v>1666</v>
      </c>
      <c r="D166" s="782" t="s">
        <v>3104</v>
      </c>
      <c r="E166" s="783">
        <v>0</v>
      </c>
      <c r="F166" s="783">
        <f t="shared" si="3"/>
        <v>0</v>
      </c>
    </row>
    <row r="167" spans="1:6" ht="12.9" customHeight="1">
      <c r="A167" s="982"/>
      <c r="B167" s="974"/>
      <c r="C167" s="947"/>
      <c r="D167" s="782" t="s">
        <v>3097</v>
      </c>
      <c r="E167" s="783">
        <v>4438000</v>
      </c>
      <c r="F167" s="783">
        <f t="shared" si="3"/>
        <v>4438</v>
      </c>
    </row>
    <row r="168" spans="1:6" ht="12.9" customHeight="1">
      <c r="A168" s="982"/>
      <c r="B168" s="974"/>
      <c r="C168" s="796" t="s">
        <v>1667</v>
      </c>
      <c r="D168" s="782" t="s">
        <v>3097</v>
      </c>
      <c r="E168" s="783">
        <v>2484000</v>
      </c>
      <c r="F168" s="783">
        <f t="shared" si="3"/>
        <v>2484</v>
      </c>
    </row>
    <row r="169" spans="1:6" ht="12.9" customHeight="1">
      <c r="A169" s="982"/>
      <c r="B169" s="974"/>
      <c r="C169" s="796" t="s">
        <v>1668</v>
      </c>
      <c r="D169" s="782" t="s">
        <v>3097</v>
      </c>
      <c r="E169" s="783">
        <v>1016000</v>
      </c>
      <c r="F169" s="783">
        <f t="shared" si="3"/>
        <v>1016</v>
      </c>
    </row>
    <row r="170" spans="1:6" ht="12.9" customHeight="1">
      <c r="A170" s="982"/>
      <c r="B170" s="974"/>
      <c r="C170" s="796" t="s">
        <v>1669</v>
      </c>
      <c r="D170" s="782" t="s">
        <v>3097</v>
      </c>
      <c r="E170" s="783">
        <v>685000</v>
      </c>
      <c r="F170" s="783">
        <f t="shared" si="3"/>
        <v>685</v>
      </c>
    </row>
    <row r="171" spans="1:6" ht="15.75" customHeight="1">
      <c r="A171" s="982"/>
      <c r="B171" s="974"/>
      <c r="C171" s="976" t="s">
        <v>3964</v>
      </c>
      <c r="D171" s="977"/>
      <c r="E171" s="807">
        <v>20258500</v>
      </c>
      <c r="F171" s="807">
        <f>SUM(F158:F170)</f>
        <v>20258.5</v>
      </c>
    </row>
    <row r="172" spans="1:6" ht="21.75" customHeight="1">
      <c r="A172" s="982"/>
      <c r="B172" s="974" t="s">
        <v>1745</v>
      </c>
      <c r="C172" s="796" t="s">
        <v>1672</v>
      </c>
      <c r="D172" s="782" t="s">
        <v>3097</v>
      </c>
      <c r="E172" s="783">
        <v>483000</v>
      </c>
      <c r="F172" s="783">
        <f t="shared" si="3"/>
        <v>483</v>
      </c>
    </row>
    <row r="173" spans="1:6" ht="12.9" customHeight="1">
      <c r="A173" s="982"/>
      <c r="B173" s="974"/>
      <c r="C173" s="947" t="s">
        <v>1673</v>
      </c>
      <c r="D173" s="782" t="s">
        <v>3104</v>
      </c>
      <c r="E173" s="783">
        <v>0</v>
      </c>
      <c r="F173" s="783">
        <f t="shared" si="3"/>
        <v>0</v>
      </c>
    </row>
    <row r="174" spans="1:6" ht="12.9" customHeight="1">
      <c r="A174" s="982"/>
      <c r="B174" s="974"/>
      <c r="C174" s="947"/>
      <c r="D174" s="782" t="s">
        <v>3099</v>
      </c>
      <c r="E174" s="783">
        <v>5247.94</v>
      </c>
      <c r="F174" s="783">
        <f t="shared" si="3"/>
        <v>5.2479399999999998</v>
      </c>
    </row>
    <row r="175" spans="1:6" ht="12.9" customHeight="1">
      <c r="A175" s="982"/>
      <c r="B175" s="974"/>
      <c r="C175" s="947"/>
      <c r="D175" s="782" t="s">
        <v>3097</v>
      </c>
      <c r="E175" s="783">
        <v>6125000</v>
      </c>
      <c r="F175" s="783">
        <f t="shared" si="3"/>
        <v>6125</v>
      </c>
    </row>
    <row r="176" spans="1:6" ht="12.9" customHeight="1">
      <c r="A176" s="982"/>
      <c r="B176" s="974"/>
      <c r="C176" s="947" t="s">
        <v>1674</v>
      </c>
      <c r="D176" s="782" t="s">
        <v>3104</v>
      </c>
      <c r="E176" s="783">
        <v>0</v>
      </c>
      <c r="F176" s="783">
        <f t="shared" si="3"/>
        <v>0</v>
      </c>
    </row>
    <row r="177" spans="1:6" ht="12.9" customHeight="1">
      <c r="A177" s="982"/>
      <c r="B177" s="974"/>
      <c r="C177" s="947"/>
      <c r="D177" s="782" t="s">
        <v>3097</v>
      </c>
      <c r="E177" s="783">
        <v>3755017</v>
      </c>
      <c r="F177" s="783">
        <f t="shared" si="3"/>
        <v>3755.0169999999998</v>
      </c>
    </row>
    <row r="178" spans="1:6" ht="12.9" customHeight="1">
      <c r="A178" s="982"/>
      <c r="B178" s="974"/>
      <c r="C178" s="947" t="s">
        <v>1675</v>
      </c>
      <c r="D178" s="782" t="s">
        <v>3104</v>
      </c>
      <c r="E178" s="783">
        <v>1572000</v>
      </c>
      <c r="F178" s="783">
        <f t="shared" si="3"/>
        <v>1572</v>
      </c>
    </row>
    <row r="179" spans="1:6" ht="12.9" customHeight="1">
      <c r="A179" s="982"/>
      <c r="B179" s="974"/>
      <c r="C179" s="947"/>
      <c r="D179" s="782" t="s">
        <v>3097</v>
      </c>
      <c r="E179" s="783">
        <v>7369316</v>
      </c>
      <c r="F179" s="783">
        <f t="shared" si="3"/>
        <v>7369.3159999999998</v>
      </c>
    </row>
    <row r="180" spans="1:6" ht="12.9" customHeight="1">
      <c r="A180" s="982"/>
      <c r="B180" s="974"/>
      <c r="C180" s="947" t="s">
        <v>1676</v>
      </c>
      <c r="D180" s="782" t="s">
        <v>3104</v>
      </c>
      <c r="E180" s="783">
        <v>0</v>
      </c>
      <c r="F180" s="783">
        <f t="shared" si="3"/>
        <v>0</v>
      </c>
    </row>
    <row r="181" spans="1:6" ht="12.9" customHeight="1">
      <c r="A181" s="982"/>
      <c r="B181" s="974"/>
      <c r="C181" s="947"/>
      <c r="D181" s="782" t="s">
        <v>3097</v>
      </c>
      <c r="E181" s="783">
        <v>0</v>
      </c>
      <c r="F181" s="783">
        <f t="shared" si="3"/>
        <v>0</v>
      </c>
    </row>
    <row r="182" spans="1:6" ht="12.9" customHeight="1">
      <c r="A182" s="982"/>
      <c r="B182" s="974"/>
      <c r="C182" s="947" t="s">
        <v>1677</v>
      </c>
      <c r="D182" s="782" t="s">
        <v>3104</v>
      </c>
      <c r="E182" s="783">
        <v>0</v>
      </c>
      <c r="F182" s="783">
        <f t="shared" si="3"/>
        <v>0</v>
      </c>
    </row>
    <row r="183" spans="1:6" ht="12.9" customHeight="1">
      <c r="A183" s="982"/>
      <c r="B183" s="974"/>
      <c r="C183" s="947"/>
      <c r="D183" s="782" t="s">
        <v>3097</v>
      </c>
      <c r="E183" s="783">
        <v>1467000</v>
      </c>
      <c r="F183" s="783">
        <f t="shared" si="3"/>
        <v>1467</v>
      </c>
    </row>
    <row r="184" spans="1:6" ht="13.5" customHeight="1">
      <c r="A184" s="982"/>
      <c r="B184" s="974"/>
      <c r="C184" s="976" t="s">
        <v>3060</v>
      </c>
      <c r="D184" s="977"/>
      <c r="E184" s="807">
        <f>SUM(E172:E183)</f>
        <v>20776580.940000001</v>
      </c>
      <c r="F184" s="807">
        <f>SUM(F172:F183)</f>
        <v>20776.58094</v>
      </c>
    </row>
    <row r="185" spans="1:6" ht="12.9" customHeight="1">
      <c r="A185" s="982"/>
      <c r="B185" s="974" t="s">
        <v>1750</v>
      </c>
      <c r="C185" s="947" t="s">
        <v>1680</v>
      </c>
      <c r="D185" s="782" t="s">
        <v>3104</v>
      </c>
      <c r="E185" s="783">
        <v>3758368</v>
      </c>
      <c r="F185" s="783">
        <f t="shared" si="3"/>
        <v>3758.3679999999999</v>
      </c>
    </row>
    <row r="186" spans="1:6" ht="12.9" customHeight="1">
      <c r="A186" s="982"/>
      <c r="B186" s="974"/>
      <c r="C186" s="947"/>
      <c r="D186" s="782" t="s">
        <v>3097</v>
      </c>
      <c r="E186" s="783">
        <v>3865000</v>
      </c>
      <c r="F186" s="783">
        <f t="shared" si="3"/>
        <v>3865</v>
      </c>
    </row>
    <row r="187" spans="1:6" ht="12.9" customHeight="1">
      <c r="A187" s="982"/>
      <c r="B187" s="974"/>
      <c r="C187" s="947" t="s">
        <v>1681</v>
      </c>
      <c r="D187" s="782" t="s">
        <v>3104</v>
      </c>
      <c r="E187" s="783">
        <v>0</v>
      </c>
      <c r="F187" s="783">
        <f t="shared" si="3"/>
        <v>0</v>
      </c>
    </row>
    <row r="188" spans="1:6" ht="12.9" customHeight="1">
      <c r="A188" s="982"/>
      <c r="B188" s="974"/>
      <c r="C188" s="947"/>
      <c r="D188" s="782" t="s">
        <v>3097</v>
      </c>
      <c r="E188" s="783">
        <v>2716000</v>
      </c>
      <c r="F188" s="783">
        <f t="shared" si="3"/>
        <v>2716</v>
      </c>
    </row>
    <row r="189" spans="1:6" ht="12.9" customHeight="1">
      <c r="A189" s="982"/>
      <c r="B189" s="974"/>
      <c r="C189" s="947" t="s">
        <v>1682</v>
      </c>
      <c r="D189" s="782" t="s">
        <v>3104</v>
      </c>
      <c r="E189" s="783">
        <v>0</v>
      </c>
      <c r="F189" s="783">
        <f t="shared" si="3"/>
        <v>0</v>
      </c>
    </row>
    <row r="190" spans="1:6" ht="12.9" customHeight="1">
      <c r="A190" s="982"/>
      <c r="B190" s="974"/>
      <c r="C190" s="947"/>
      <c r="D190" s="782" t="s">
        <v>3097</v>
      </c>
      <c r="E190" s="783">
        <v>708000</v>
      </c>
      <c r="F190" s="783">
        <f t="shared" si="3"/>
        <v>708</v>
      </c>
    </row>
    <row r="191" spans="1:6" ht="12.9" customHeight="1">
      <c r="A191" s="982"/>
      <c r="B191" s="974"/>
      <c r="C191" s="947" t="s">
        <v>1683</v>
      </c>
      <c r="D191" s="782" t="s">
        <v>3104</v>
      </c>
      <c r="E191" s="783">
        <v>98556</v>
      </c>
      <c r="F191" s="783">
        <f t="shared" si="3"/>
        <v>98.555999999999997</v>
      </c>
    </row>
    <row r="192" spans="1:6" ht="12.9" customHeight="1">
      <c r="A192" s="982"/>
      <c r="B192" s="974"/>
      <c r="C192" s="947"/>
      <c r="D192" s="782" t="s">
        <v>3097</v>
      </c>
      <c r="E192" s="783">
        <v>3228400</v>
      </c>
      <c r="F192" s="783">
        <f t="shared" si="3"/>
        <v>3228.4</v>
      </c>
    </row>
    <row r="193" spans="1:6" ht="12.9" customHeight="1">
      <c r="A193" s="982"/>
      <c r="B193" s="974"/>
      <c r="C193" s="796" t="s">
        <v>1684</v>
      </c>
      <c r="D193" s="782" t="s">
        <v>3097</v>
      </c>
      <c r="E193" s="783">
        <v>3737840</v>
      </c>
      <c r="F193" s="783">
        <f t="shared" si="3"/>
        <v>3737.84</v>
      </c>
    </row>
    <row r="194" spans="1:6" ht="12.9" customHeight="1">
      <c r="A194" s="982"/>
      <c r="B194" s="974"/>
      <c r="C194" s="796" t="s">
        <v>1685</v>
      </c>
      <c r="D194" s="782" t="s">
        <v>3104</v>
      </c>
      <c r="E194" s="783">
        <v>0</v>
      </c>
      <c r="F194" s="783">
        <f t="shared" si="3"/>
        <v>0</v>
      </c>
    </row>
    <row r="195" spans="1:6" ht="12.9" customHeight="1">
      <c r="A195" s="982"/>
      <c r="B195" s="974"/>
      <c r="C195" s="947" t="s">
        <v>1686</v>
      </c>
      <c r="D195" s="782" t="s">
        <v>3104</v>
      </c>
      <c r="E195" s="783">
        <v>736811</v>
      </c>
      <c r="F195" s="783">
        <f t="shared" si="3"/>
        <v>736.81100000000004</v>
      </c>
    </row>
    <row r="196" spans="1:6" ht="12.9" customHeight="1">
      <c r="A196" s="982"/>
      <c r="B196" s="974"/>
      <c r="C196" s="947"/>
      <c r="D196" s="782" t="s">
        <v>3097</v>
      </c>
      <c r="E196" s="783">
        <v>2486000</v>
      </c>
      <c r="F196" s="783">
        <f t="shared" si="3"/>
        <v>2486</v>
      </c>
    </row>
    <row r="197" spans="1:6" ht="12.9" customHeight="1">
      <c r="A197" s="982"/>
      <c r="B197" s="974"/>
      <c r="C197" s="947" t="s">
        <v>1687</v>
      </c>
      <c r="D197" s="782" t="s">
        <v>3104</v>
      </c>
      <c r="E197" s="783">
        <v>0</v>
      </c>
      <c r="F197" s="783">
        <f t="shared" si="3"/>
        <v>0</v>
      </c>
    </row>
    <row r="198" spans="1:6" ht="12.9" customHeight="1">
      <c r="A198" s="982"/>
      <c r="B198" s="974"/>
      <c r="C198" s="947"/>
      <c r="D198" s="782" t="s">
        <v>3097</v>
      </c>
      <c r="E198" s="783">
        <v>3372000</v>
      </c>
      <c r="F198" s="783">
        <f t="shared" si="3"/>
        <v>3372</v>
      </c>
    </row>
    <row r="199" spans="1:6" ht="12.9" customHeight="1">
      <c r="A199" s="982"/>
      <c r="B199" s="974"/>
      <c r="C199" s="947" t="s">
        <v>1688</v>
      </c>
      <c r="D199" s="782" t="s">
        <v>3104</v>
      </c>
      <c r="E199" s="783">
        <v>640000</v>
      </c>
      <c r="F199" s="783">
        <f t="shared" si="3"/>
        <v>640</v>
      </c>
    </row>
    <row r="200" spans="1:6" ht="12.9" customHeight="1">
      <c r="A200" s="982"/>
      <c r="B200" s="974"/>
      <c r="C200" s="947"/>
      <c r="D200" s="782" t="s">
        <v>3097</v>
      </c>
      <c r="E200" s="783">
        <v>4944500</v>
      </c>
      <c r="F200" s="783">
        <f t="shared" si="3"/>
        <v>4944.5</v>
      </c>
    </row>
    <row r="201" spans="1:6" ht="12.9" customHeight="1">
      <c r="A201" s="982"/>
      <c r="B201" s="974"/>
      <c r="C201" s="947" t="s">
        <v>1689</v>
      </c>
      <c r="D201" s="782" t="s">
        <v>3104</v>
      </c>
      <c r="E201" s="783">
        <v>0</v>
      </c>
      <c r="F201" s="783">
        <f t="shared" si="3"/>
        <v>0</v>
      </c>
    </row>
    <row r="202" spans="1:6" ht="12.9" customHeight="1">
      <c r="A202" s="982"/>
      <c r="B202" s="974"/>
      <c r="C202" s="947"/>
      <c r="D202" s="782" t="s">
        <v>3097</v>
      </c>
      <c r="E202" s="783">
        <v>3884000</v>
      </c>
      <c r="F202" s="783">
        <f t="shared" si="3"/>
        <v>3884</v>
      </c>
    </row>
    <row r="203" spans="1:6" ht="12.9" customHeight="1">
      <c r="A203" s="982"/>
      <c r="B203" s="974"/>
      <c r="C203" s="796" t="s">
        <v>3965</v>
      </c>
      <c r="D203" s="782" t="s">
        <v>3097</v>
      </c>
      <c r="E203" s="783">
        <v>0</v>
      </c>
      <c r="F203" s="783">
        <f t="shared" si="3"/>
        <v>0</v>
      </c>
    </row>
    <row r="204" spans="1:6" ht="12.9" customHeight="1">
      <c r="A204" s="982"/>
      <c r="B204" s="974"/>
      <c r="C204" s="947" t="s">
        <v>3966</v>
      </c>
      <c r="D204" s="782" t="s">
        <v>3104</v>
      </c>
      <c r="E204" s="783">
        <v>400000</v>
      </c>
      <c r="F204" s="783">
        <f t="shared" si="3"/>
        <v>400</v>
      </c>
    </row>
    <row r="205" spans="1:6" ht="12.9" customHeight="1">
      <c r="A205" s="982"/>
      <c r="B205" s="974"/>
      <c r="C205" s="947"/>
      <c r="D205" s="782" t="s">
        <v>3097</v>
      </c>
      <c r="E205" s="783">
        <v>20000</v>
      </c>
      <c r="F205" s="783">
        <f t="shared" si="3"/>
        <v>20</v>
      </c>
    </row>
    <row r="206" spans="1:6" ht="12.9" customHeight="1">
      <c r="A206" s="982"/>
      <c r="B206" s="974"/>
      <c r="C206" s="947" t="s">
        <v>1692</v>
      </c>
      <c r="D206" s="782" t="s">
        <v>3104</v>
      </c>
      <c r="E206" s="783">
        <v>226512</v>
      </c>
      <c r="F206" s="783">
        <f t="shared" si="3"/>
        <v>226.512</v>
      </c>
    </row>
    <row r="207" spans="1:6" ht="12.9" customHeight="1">
      <c r="A207" s="982"/>
      <c r="B207" s="974"/>
      <c r="C207" s="947"/>
      <c r="D207" s="782" t="s">
        <v>3097</v>
      </c>
      <c r="E207" s="783">
        <v>2168000</v>
      </c>
      <c r="F207" s="783">
        <f t="shared" si="3"/>
        <v>2168</v>
      </c>
    </row>
    <row r="208" spans="1:6" ht="23.25" customHeight="1">
      <c r="A208" s="982"/>
      <c r="B208" s="974"/>
      <c r="C208" s="796" t="s">
        <v>1693</v>
      </c>
      <c r="D208" s="782" t="s">
        <v>3097</v>
      </c>
      <c r="E208" s="783">
        <v>717000</v>
      </c>
      <c r="F208" s="783">
        <f t="shared" si="3"/>
        <v>717</v>
      </c>
    </row>
    <row r="209" spans="1:6" ht="23.25" customHeight="1">
      <c r="A209" s="982"/>
      <c r="B209" s="974"/>
      <c r="C209" s="796" t="s">
        <v>1694</v>
      </c>
      <c r="D209" s="782" t="s">
        <v>3097</v>
      </c>
      <c r="E209" s="783">
        <v>1109000</v>
      </c>
      <c r="F209" s="783">
        <f t="shared" si="3"/>
        <v>1109</v>
      </c>
    </row>
    <row r="210" spans="1:6" ht="14.25" customHeight="1" thickBot="1">
      <c r="A210" s="984"/>
      <c r="B210" s="1003"/>
      <c r="C210" s="1001" t="s">
        <v>1695</v>
      </c>
      <c r="D210" s="1002"/>
      <c r="E210" s="797">
        <f>SUM(E185:E209)</f>
        <v>38815987</v>
      </c>
      <c r="F210" s="797">
        <f>SUM(F185:F209)</f>
        <v>38815.987000000008</v>
      </c>
    </row>
    <row r="211" spans="1:6" ht="21" customHeight="1" thickBot="1">
      <c r="A211" s="958" t="s">
        <v>1753</v>
      </c>
      <c r="B211" s="959"/>
      <c r="C211" s="959"/>
      <c r="D211" s="960"/>
      <c r="E211" s="789">
        <f>E74+E85+E157+E171+E184+E210</f>
        <v>428614352.65000004</v>
      </c>
      <c r="F211" s="789">
        <f>F74+F85+F157+F171+F184+F210</f>
        <v>428614.35265000007</v>
      </c>
    </row>
    <row r="212" spans="1:6" ht="24.75" customHeight="1" thickBot="1">
      <c r="A212" s="949" t="s">
        <v>1754</v>
      </c>
      <c r="B212" s="950"/>
      <c r="C212" s="950"/>
      <c r="D212" s="950"/>
      <c r="E212" s="950"/>
      <c r="F212" s="951"/>
    </row>
    <row r="213" spans="1:6" ht="12.9" customHeight="1" thickTop="1">
      <c r="A213" s="991" t="s">
        <v>1755</v>
      </c>
      <c r="B213" s="992"/>
      <c r="C213" s="968" t="s">
        <v>1756</v>
      </c>
      <c r="D213" s="780" t="s">
        <v>3104</v>
      </c>
      <c r="E213" s="781">
        <v>3900000</v>
      </c>
      <c r="F213" s="781">
        <f t="shared" ref="F213:F240" si="4">E213/1000</f>
        <v>3900</v>
      </c>
    </row>
    <row r="214" spans="1:6" ht="12.9" customHeight="1">
      <c r="A214" s="993"/>
      <c r="B214" s="994"/>
      <c r="C214" s="947"/>
      <c r="D214" s="782" t="s">
        <v>3097</v>
      </c>
      <c r="E214" s="783">
        <v>16883000</v>
      </c>
      <c r="F214" s="781">
        <f t="shared" si="4"/>
        <v>16883</v>
      </c>
    </row>
    <row r="215" spans="1:6" ht="12.9" customHeight="1">
      <c r="A215" s="993"/>
      <c r="B215" s="994"/>
      <c r="C215" s="947" t="s">
        <v>3596</v>
      </c>
      <c r="D215" s="782" t="s">
        <v>3104</v>
      </c>
      <c r="E215" s="783">
        <v>358962.4</v>
      </c>
      <c r="F215" s="781">
        <f t="shared" si="4"/>
        <v>358.9624</v>
      </c>
    </row>
    <row r="216" spans="1:6" ht="12.9" customHeight="1">
      <c r="A216" s="993"/>
      <c r="B216" s="994"/>
      <c r="C216" s="947"/>
      <c r="D216" s="782" t="s">
        <v>3097</v>
      </c>
      <c r="E216" s="783">
        <v>2354000</v>
      </c>
      <c r="F216" s="781">
        <f t="shared" si="4"/>
        <v>2354</v>
      </c>
    </row>
    <row r="217" spans="1:6" ht="12.9" customHeight="1">
      <c r="A217" s="993"/>
      <c r="B217" s="994"/>
      <c r="C217" s="947" t="s">
        <v>3967</v>
      </c>
      <c r="D217" s="782" t="s">
        <v>3104</v>
      </c>
      <c r="E217" s="783">
        <v>0</v>
      </c>
      <c r="F217" s="781">
        <f t="shared" si="4"/>
        <v>0</v>
      </c>
    </row>
    <row r="218" spans="1:6" ht="12.9" customHeight="1">
      <c r="A218" s="993"/>
      <c r="B218" s="994"/>
      <c r="C218" s="947"/>
      <c r="D218" s="782" t="s">
        <v>3097</v>
      </c>
      <c r="E218" s="783">
        <v>7923000</v>
      </c>
      <c r="F218" s="781">
        <f t="shared" si="4"/>
        <v>7923</v>
      </c>
    </row>
    <row r="219" spans="1:6" ht="12.9" customHeight="1">
      <c r="A219" s="993"/>
      <c r="B219" s="994"/>
      <c r="C219" s="947" t="s">
        <v>1759</v>
      </c>
      <c r="D219" s="782" t="s">
        <v>3104</v>
      </c>
      <c r="E219" s="783">
        <v>456387</v>
      </c>
      <c r="F219" s="781">
        <f t="shared" si="4"/>
        <v>456.387</v>
      </c>
    </row>
    <row r="220" spans="1:6" ht="12.9" customHeight="1">
      <c r="A220" s="993"/>
      <c r="B220" s="994"/>
      <c r="C220" s="947"/>
      <c r="D220" s="782" t="s">
        <v>3097</v>
      </c>
      <c r="E220" s="808">
        <v>8220000</v>
      </c>
      <c r="F220" s="783">
        <f t="shared" si="4"/>
        <v>8220</v>
      </c>
    </row>
    <row r="221" spans="1:6" ht="12.9" customHeight="1">
      <c r="A221" s="995" t="s">
        <v>1755</v>
      </c>
      <c r="B221" s="994"/>
      <c r="C221" s="947" t="s">
        <v>1762</v>
      </c>
      <c r="D221" s="782" t="s">
        <v>3104</v>
      </c>
      <c r="E221" s="808">
        <v>2909134</v>
      </c>
      <c r="F221" s="783">
        <f t="shared" si="4"/>
        <v>2909.134</v>
      </c>
    </row>
    <row r="222" spans="1:6" ht="12.9" customHeight="1">
      <c r="A222" s="993"/>
      <c r="B222" s="994"/>
      <c r="C222" s="947"/>
      <c r="D222" s="782" t="s">
        <v>3099</v>
      </c>
      <c r="E222" s="783">
        <v>36000</v>
      </c>
      <c r="F222" s="781">
        <f t="shared" si="4"/>
        <v>36</v>
      </c>
    </row>
    <row r="223" spans="1:6" ht="12.9" customHeight="1">
      <c r="A223" s="993"/>
      <c r="B223" s="994"/>
      <c r="C223" s="947"/>
      <c r="D223" s="782" t="s">
        <v>3097</v>
      </c>
      <c r="E223" s="783">
        <v>8501291</v>
      </c>
      <c r="F223" s="781">
        <f t="shared" si="4"/>
        <v>8501.2909999999993</v>
      </c>
    </row>
    <row r="224" spans="1:6" ht="12.9" customHeight="1">
      <c r="A224" s="993"/>
      <c r="B224" s="994"/>
      <c r="C224" s="947" t="s">
        <v>3598</v>
      </c>
      <c r="D224" s="782" t="s">
        <v>3104</v>
      </c>
      <c r="E224" s="783">
        <v>162620</v>
      </c>
      <c r="F224" s="781">
        <f t="shared" si="4"/>
        <v>162.62</v>
      </c>
    </row>
    <row r="225" spans="1:6" ht="12.9" customHeight="1">
      <c r="A225" s="993"/>
      <c r="B225" s="994"/>
      <c r="C225" s="947"/>
      <c r="D225" s="782" t="s">
        <v>3097</v>
      </c>
      <c r="E225" s="783">
        <v>6730000</v>
      </c>
      <c r="F225" s="781">
        <f t="shared" si="4"/>
        <v>6730</v>
      </c>
    </row>
    <row r="226" spans="1:6" ht="12.9" customHeight="1">
      <c r="A226" s="993"/>
      <c r="B226" s="994"/>
      <c r="C226" s="947" t="s">
        <v>3600</v>
      </c>
      <c r="D226" s="782" t="s">
        <v>3104</v>
      </c>
      <c r="E226" s="783">
        <v>11902267.300000001</v>
      </c>
      <c r="F226" s="781">
        <f t="shared" si="4"/>
        <v>11902.267300000001</v>
      </c>
    </row>
    <row r="227" spans="1:6" ht="12.9" customHeight="1">
      <c r="A227" s="993"/>
      <c r="B227" s="994"/>
      <c r="C227" s="947"/>
      <c r="D227" s="782" t="s">
        <v>3097</v>
      </c>
      <c r="E227" s="783">
        <v>7210000</v>
      </c>
      <c r="F227" s="781">
        <f t="shared" si="4"/>
        <v>7210</v>
      </c>
    </row>
    <row r="228" spans="1:6" ht="12.9" customHeight="1">
      <c r="A228" s="993"/>
      <c r="B228" s="994"/>
      <c r="C228" s="947" t="s">
        <v>3968</v>
      </c>
      <c r="D228" s="782" t="s">
        <v>3104</v>
      </c>
      <c r="E228" s="783">
        <v>0</v>
      </c>
      <c r="F228" s="781">
        <f t="shared" si="4"/>
        <v>0</v>
      </c>
    </row>
    <row r="229" spans="1:6" ht="12.9" customHeight="1">
      <c r="A229" s="993"/>
      <c r="B229" s="994"/>
      <c r="C229" s="947"/>
      <c r="D229" s="782" t="s">
        <v>3097</v>
      </c>
      <c r="E229" s="783">
        <v>4370000</v>
      </c>
      <c r="F229" s="781">
        <f t="shared" si="4"/>
        <v>4370</v>
      </c>
    </row>
    <row r="230" spans="1:6" ht="12.9" customHeight="1">
      <c r="A230" s="993"/>
      <c r="B230" s="994"/>
      <c r="C230" s="947" t="s">
        <v>1767</v>
      </c>
      <c r="D230" s="782" t="s">
        <v>3104</v>
      </c>
      <c r="E230" s="783">
        <v>17375800.27</v>
      </c>
      <c r="F230" s="781">
        <f t="shared" si="4"/>
        <v>17375.80027</v>
      </c>
    </row>
    <row r="231" spans="1:6" ht="12.9" customHeight="1">
      <c r="A231" s="993"/>
      <c r="B231" s="994"/>
      <c r="C231" s="947"/>
      <c r="D231" s="782" t="s">
        <v>3097</v>
      </c>
      <c r="E231" s="783">
        <v>54255526</v>
      </c>
      <c r="F231" s="781">
        <f t="shared" si="4"/>
        <v>54255.525999999998</v>
      </c>
    </row>
    <row r="232" spans="1:6" ht="21.75" customHeight="1">
      <c r="A232" s="993"/>
      <c r="B232" s="994"/>
      <c r="C232" s="796" t="s">
        <v>3969</v>
      </c>
      <c r="D232" s="782" t="s">
        <v>3097</v>
      </c>
      <c r="E232" s="783">
        <v>4900000</v>
      </c>
      <c r="F232" s="781">
        <f t="shared" si="4"/>
        <v>4900</v>
      </c>
    </row>
    <row r="233" spans="1:6" ht="12.9" customHeight="1">
      <c r="A233" s="993"/>
      <c r="B233" s="994"/>
      <c r="C233" s="947" t="s">
        <v>3602</v>
      </c>
      <c r="D233" s="782" t="s">
        <v>3104</v>
      </c>
      <c r="E233" s="783">
        <v>2420448</v>
      </c>
      <c r="F233" s="781">
        <f t="shared" si="4"/>
        <v>2420.4479999999999</v>
      </c>
    </row>
    <row r="234" spans="1:6" ht="12.9" customHeight="1">
      <c r="A234" s="993"/>
      <c r="B234" s="994"/>
      <c r="C234" s="947"/>
      <c r="D234" s="782" t="s">
        <v>3099</v>
      </c>
      <c r="E234" s="783">
        <v>580636.18999999994</v>
      </c>
      <c r="F234" s="781">
        <f t="shared" si="4"/>
        <v>580.63618999999994</v>
      </c>
    </row>
    <row r="235" spans="1:6" ht="12.9" customHeight="1">
      <c r="A235" s="993"/>
      <c r="B235" s="994"/>
      <c r="C235" s="947"/>
      <c r="D235" s="782" t="s">
        <v>3097</v>
      </c>
      <c r="E235" s="783">
        <v>8748000</v>
      </c>
      <c r="F235" s="781">
        <f t="shared" si="4"/>
        <v>8748</v>
      </c>
    </row>
    <row r="236" spans="1:6" ht="12.9" customHeight="1">
      <c r="A236" s="993"/>
      <c r="B236" s="994"/>
      <c r="C236" s="947" t="s">
        <v>1769</v>
      </c>
      <c r="D236" s="782" t="s">
        <v>3104</v>
      </c>
      <c r="E236" s="783">
        <v>400000</v>
      </c>
      <c r="F236" s="781">
        <f t="shared" si="4"/>
        <v>400</v>
      </c>
    </row>
    <row r="237" spans="1:6" ht="12.9" customHeight="1">
      <c r="A237" s="993"/>
      <c r="B237" s="994"/>
      <c r="C237" s="947"/>
      <c r="D237" s="782" t="s">
        <v>3097</v>
      </c>
      <c r="E237" s="783">
        <v>18455000</v>
      </c>
      <c r="F237" s="781">
        <f t="shared" si="4"/>
        <v>18455</v>
      </c>
    </row>
    <row r="238" spans="1:6" ht="12.9" customHeight="1">
      <c r="A238" s="993"/>
      <c r="B238" s="994"/>
      <c r="C238" s="947" t="s">
        <v>3604</v>
      </c>
      <c r="D238" s="782" t="s">
        <v>3104</v>
      </c>
      <c r="E238" s="783">
        <v>1230184.3400000001</v>
      </c>
      <c r="F238" s="781">
        <f t="shared" si="4"/>
        <v>1230.18434</v>
      </c>
    </row>
    <row r="239" spans="1:6" ht="12.9" customHeight="1">
      <c r="A239" s="993"/>
      <c r="B239" s="994"/>
      <c r="C239" s="947"/>
      <c r="D239" s="782" t="s">
        <v>3099</v>
      </c>
      <c r="E239" s="783">
        <v>208585.65999999992</v>
      </c>
      <c r="F239" s="781">
        <f t="shared" si="4"/>
        <v>208.5856599999999</v>
      </c>
    </row>
    <row r="240" spans="1:6" ht="12.9" customHeight="1" thickBot="1">
      <c r="A240" s="996"/>
      <c r="B240" s="997"/>
      <c r="C240" s="948"/>
      <c r="D240" s="784" t="s">
        <v>3097</v>
      </c>
      <c r="E240" s="785">
        <v>55632000</v>
      </c>
      <c r="F240" s="781">
        <f t="shared" si="4"/>
        <v>55632</v>
      </c>
    </row>
    <row r="241" spans="1:6" ht="20.25" customHeight="1" thickBot="1">
      <c r="A241" s="958" t="s">
        <v>1775</v>
      </c>
      <c r="B241" s="959"/>
      <c r="C241" s="959"/>
      <c r="D241" s="960"/>
      <c r="E241" s="789">
        <v>246122842.16</v>
      </c>
      <c r="F241" s="789">
        <f>SUM(F213:F240)</f>
        <v>246122.84216000003</v>
      </c>
    </row>
    <row r="242" spans="1:6" ht="22.5" customHeight="1" thickBot="1">
      <c r="A242" s="949" t="s">
        <v>1444</v>
      </c>
      <c r="B242" s="950"/>
      <c r="C242" s="950"/>
      <c r="D242" s="950"/>
      <c r="E242" s="950"/>
      <c r="F242" s="951"/>
    </row>
    <row r="243" spans="1:6" ht="12.9" customHeight="1" thickTop="1">
      <c r="A243" s="985" t="s">
        <v>1776</v>
      </c>
      <c r="B243" s="986"/>
      <c r="C243" s="968" t="s">
        <v>3970</v>
      </c>
      <c r="D243" s="780" t="s">
        <v>3104</v>
      </c>
      <c r="E243" s="781">
        <v>28721667.920000002</v>
      </c>
      <c r="F243" s="781">
        <f t="shared" ref="F243:F267" si="5">E243/1000</f>
        <v>28721.667920000004</v>
      </c>
    </row>
    <row r="244" spans="1:6" ht="12.9" customHeight="1">
      <c r="A244" s="987"/>
      <c r="B244" s="988"/>
      <c r="C244" s="947"/>
      <c r="D244" s="782" t="s">
        <v>3097</v>
      </c>
      <c r="E244" s="783">
        <v>625021</v>
      </c>
      <c r="F244" s="781">
        <f t="shared" si="5"/>
        <v>625.02099999999996</v>
      </c>
    </row>
    <row r="245" spans="1:6" ht="12.9" customHeight="1">
      <c r="A245" s="987"/>
      <c r="B245" s="988"/>
      <c r="C245" s="947" t="s">
        <v>3971</v>
      </c>
      <c r="D245" s="782" t="s">
        <v>3104</v>
      </c>
      <c r="E245" s="783">
        <v>0</v>
      </c>
      <c r="F245" s="781">
        <f t="shared" si="5"/>
        <v>0</v>
      </c>
    </row>
    <row r="246" spans="1:6" ht="12.9" customHeight="1">
      <c r="A246" s="987"/>
      <c r="B246" s="988"/>
      <c r="C246" s="947"/>
      <c r="D246" s="782" t="s">
        <v>3097</v>
      </c>
      <c r="E246" s="783">
        <v>3216000</v>
      </c>
      <c r="F246" s="781">
        <f t="shared" si="5"/>
        <v>3216</v>
      </c>
    </row>
    <row r="247" spans="1:6" ht="12.9" customHeight="1">
      <c r="A247" s="987"/>
      <c r="B247" s="988"/>
      <c r="C247" s="947" t="s">
        <v>3972</v>
      </c>
      <c r="D247" s="782" t="s">
        <v>3104</v>
      </c>
      <c r="E247" s="783">
        <v>0</v>
      </c>
      <c r="F247" s="781">
        <f t="shared" si="5"/>
        <v>0</v>
      </c>
    </row>
    <row r="248" spans="1:6" ht="19.5" customHeight="1">
      <c r="A248" s="987"/>
      <c r="B248" s="988"/>
      <c r="C248" s="947"/>
      <c r="D248" s="782" t="s">
        <v>3097</v>
      </c>
      <c r="E248" s="783">
        <v>5554328.7999999998</v>
      </c>
      <c r="F248" s="781">
        <f t="shared" si="5"/>
        <v>5554.3288000000002</v>
      </c>
    </row>
    <row r="249" spans="1:6" ht="12.9" customHeight="1">
      <c r="A249" s="987"/>
      <c r="B249" s="988"/>
      <c r="C249" s="947" t="s">
        <v>3973</v>
      </c>
      <c r="D249" s="782" t="s">
        <v>3104</v>
      </c>
      <c r="E249" s="783">
        <v>0</v>
      </c>
      <c r="F249" s="781">
        <f t="shared" si="5"/>
        <v>0</v>
      </c>
    </row>
    <row r="250" spans="1:6" ht="12.9" customHeight="1">
      <c r="A250" s="987"/>
      <c r="B250" s="988"/>
      <c r="C250" s="947"/>
      <c r="D250" s="782" t="s">
        <v>3097</v>
      </c>
      <c r="E250" s="783">
        <v>1513320</v>
      </c>
      <c r="F250" s="781">
        <f t="shared" si="5"/>
        <v>1513.32</v>
      </c>
    </row>
    <row r="251" spans="1:6" ht="12.9" customHeight="1">
      <c r="A251" s="987"/>
      <c r="B251" s="988"/>
      <c r="C251" s="947" t="s">
        <v>1777</v>
      </c>
      <c r="D251" s="782" t="s">
        <v>3104</v>
      </c>
      <c r="E251" s="783">
        <v>3000000</v>
      </c>
      <c r="F251" s="781">
        <f t="shared" si="5"/>
        <v>3000</v>
      </c>
    </row>
    <row r="252" spans="1:6" ht="12.9" customHeight="1">
      <c r="A252" s="987"/>
      <c r="B252" s="988"/>
      <c r="C252" s="947"/>
      <c r="D252" s="782" t="s">
        <v>3097</v>
      </c>
      <c r="E252" s="783">
        <v>8905956.9100000001</v>
      </c>
      <c r="F252" s="781">
        <f t="shared" si="5"/>
        <v>8905.9569100000008</v>
      </c>
    </row>
    <row r="253" spans="1:6" ht="12.9" customHeight="1">
      <c r="A253" s="987"/>
      <c r="B253" s="988"/>
      <c r="C253" s="947" t="s">
        <v>3641</v>
      </c>
      <c r="D253" s="782" t="s">
        <v>3104</v>
      </c>
      <c r="E253" s="783">
        <v>18000000</v>
      </c>
      <c r="F253" s="781">
        <f t="shared" si="5"/>
        <v>18000</v>
      </c>
    </row>
    <row r="254" spans="1:6" ht="12.9" customHeight="1">
      <c r="A254" s="987"/>
      <c r="B254" s="988"/>
      <c r="C254" s="947"/>
      <c r="D254" s="782" t="s">
        <v>3097</v>
      </c>
      <c r="E254" s="783">
        <v>451000</v>
      </c>
      <c r="F254" s="781">
        <f t="shared" si="5"/>
        <v>451</v>
      </c>
    </row>
    <row r="255" spans="1:6" ht="12.9" customHeight="1">
      <c r="A255" s="987"/>
      <c r="B255" s="988"/>
      <c r="C255" s="947" t="s">
        <v>3974</v>
      </c>
      <c r="D255" s="782" t="s">
        <v>3104</v>
      </c>
      <c r="E255" s="783">
        <v>980000</v>
      </c>
      <c r="F255" s="781">
        <f t="shared" si="5"/>
        <v>980</v>
      </c>
    </row>
    <row r="256" spans="1:6" ht="12.9" customHeight="1">
      <c r="A256" s="987"/>
      <c r="B256" s="988"/>
      <c r="C256" s="947"/>
      <c r="D256" s="782" t="s">
        <v>3097</v>
      </c>
      <c r="E256" s="783">
        <v>78834</v>
      </c>
      <c r="F256" s="781">
        <f t="shared" si="5"/>
        <v>78.834000000000003</v>
      </c>
    </row>
    <row r="257" spans="1:6" ht="12.9" customHeight="1">
      <c r="A257" s="987"/>
      <c r="B257" s="988"/>
      <c r="C257" s="947" t="s">
        <v>3975</v>
      </c>
      <c r="D257" s="782" t="s">
        <v>3104</v>
      </c>
      <c r="E257" s="783">
        <v>0</v>
      </c>
      <c r="F257" s="781">
        <f t="shared" si="5"/>
        <v>0</v>
      </c>
    </row>
    <row r="258" spans="1:6" ht="12.9" customHeight="1">
      <c r="A258" s="987"/>
      <c r="B258" s="988"/>
      <c r="C258" s="947"/>
      <c r="D258" s="782" t="s">
        <v>3097</v>
      </c>
      <c r="E258" s="783">
        <v>1318000</v>
      </c>
      <c r="F258" s="781">
        <f t="shared" si="5"/>
        <v>1318</v>
      </c>
    </row>
    <row r="259" spans="1:6" ht="12.9" customHeight="1">
      <c r="A259" s="987"/>
      <c r="B259" s="988"/>
      <c r="C259" s="947" t="s">
        <v>3976</v>
      </c>
      <c r="D259" s="782" t="s">
        <v>3104</v>
      </c>
      <c r="E259" s="783">
        <v>37436658</v>
      </c>
      <c r="F259" s="781">
        <f t="shared" si="5"/>
        <v>37436.658000000003</v>
      </c>
    </row>
    <row r="260" spans="1:6" ht="12.9" customHeight="1">
      <c r="A260" s="987"/>
      <c r="B260" s="988"/>
      <c r="C260" s="947"/>
      <c r="D260" s="782" t="s">
        <v>3099</v>
      </c>
      <c r="E260" s="783">
        <v>184500</v>
      </c>
      <c r="F260" s="781">
        <f t="shared" si="5"/>
        <v>184.5</v>
      </c>
    </row>
    <row r="261" spans="1:6" ht="12.9" customHeight="1">
      <c r="A261" s="987"/>
      <c r="B261" s="988"/>
      <c r="C261" s="947"/>
      <c r="D261" s="782" t="s">
        <v>3097</v>
      </c>
      <c r="E261" s="783">
        <v>0</v>
      </c>
      <c r="F261" s="781">
        <f t="shared" si="5"/>
        <v>0</v>
      </c>
    </row>
    <row r="262" spans="1:6" ht="15" customHeight="1">
      <c r="A262" s="987"/>
      <c r="B262" s="988"/>
      <c r="C262" s="948" t="s">
        <v>3977</v>
      </c>
      <c r="D262" s="782" t="s">
        <v>3104</v>
      </c>
      <c r="E262" s="783">
        <v>0</v>
      </c>
      <c r="F262" s="781">
        <f t="shared" si="5"/>
        <v>0</v>
      </c>
    </row>
    <row r="263" spans="1:6" ht="12.9" customHeight="1">
      <c r="A263" s="987"/>
      <c r="B263" s="988"/>
      <c r="C263" s="968"/>
      <c r="D263" s="782" t="s">
        <v>3097</v>
      </c>
      <c r="E263" s="783">
        <v>110931</v>
      </c>
      <c r="F263" s="781">
        <f t="shared" si="5"/>
        <v>110.931</v>
      </c>
    </row>
    <row r="264" spans="1:6" ht="12.9" customHeight="1">
      <c r="A264" s="987"/>
      <c r="B264" s="988"/>
      <c r="C264" s="947" t="s">
        <v>3978</v>
      </c>
      <c r="D264" s="782" t="s">
        <v>3104</v>
      </c>
      <c r="E264" s="783">
        <v>3536711</v>
      </c>
      <c r="F264" s="781">
        <f t="shared" si="5"/>
        <v>3536.7109999999998</v>
      </c>
    </row>
    <row r="265" spans="1:6" ht="12.9" customHeight="1">
      <c r="A265" s="987"/>
      <c r="B265" s="988"/>
      <c r="C265" s="947"/>
      <c r="D265" s="782" t="s">
        <v>3097</v>
      </c>
      <c r="E265" s="783">
        <v>2762584</v>
      </c>
      <c r="F265" s="781">
        <f t="shared" si="5"/>
        <v>2762.5839999999998</v>
      </c>
    </row>
    <row r="266" spans="1:6" ht="12.9" customHeight="1">
      <c r="A266" s="987"/>
      <c r="B266" s="988"/>
      <c r="C266" s="947" t="s">
        <v>3643</v>
      </c>
      <c r="D266" s="782" t="s">
        <v>3104</v>
      </c>
      <c r="E266" s="783">
        <v>1398669</v>
      </c>
      <c r="F266" s="781">
        <f t="shared" si="5"/>
        <v>1398.6690000000001</v>
      </c>
    </row>
    <row r="267" spans="1:6" ht="12.9" customHeight="1" thickBot="1">
      <c r="A267" s="989"/>
      <c r="B267" s="990"/>
      <c r="C267" s="948"/>
      <c r="D267" s="784" t="s">
        <v>3097</v>
      </c>
      <c r="E267" s="785">
        <v>1000000</v>
      </c>
      <c r="F267" s="781">
        <f t="shared" si="5"/>
        <v>1000</v>
      </c>
    </row>
    <row r="268" spans="1:6" ht="17.25" customHeight="1" thickBot="1">
      <c r="A268" s="958" t="s">
        <v>1780</v>
      </c>
      <c r="B268" s="959"/>
      <c r="C268" s="959"/>
      <c r="D268" s="960"/>
      <c r="E268" s="789">
        <v>118794181.63</v>
      </c>
      <c r="F268" s="789">
        <f>SUM(F243:F267)</f>
        <v>118794.18163000001</v>
      </c>
    </row>
    <row r="269" spans="1:6" ht="19.5" customHeight="1" thickBot="1">
      <c r="A269" s="949" t="s">
        <v>1499</v>
      </c>
      <c r="B269" s="950"/>
      <c r="C269" s="950"/>
      <c r="D269" s="950"/>
      <c r="E269" s="950"/>
      <c r="F269" s="951"/>
    </row>
    <row r="270" spans="1:6" ht="12.9" customHeight="1" thickTop="1">
      <c r="A270" s="985" t="s">
        <v>1781</v>
      </c>
      <c r="B270" s="986"/>
      <c r="C270" s="800" t="s">
        <v>1782</v>
      </c>
      <c r="D270" s="780" t="s">
        <v>3104</v>
      </c>
      <c r="E270" s="781">
        <v>400000</v>
      </c>
      <c r="F270" s="781">
        <f t="shared" ref="F270:F277" si="6">E270/1000</f>
        <v>400</v>
      </c>
    </row>
    <row r="271" spans="1:6" ht="15" customHeight="1">
      <c r="A271" s="987"/>
      <c r="B271" s="988"/>
      <c r="C271" s="801"/>
      <c r="D271" s="782" t="s">
        <v>3097</v>
      </c>
      <c r="E271" s="783">
        <v>14095854</v>
      </c>
      <c r="F271" s="781">
        <f t="shared" si="6"/>
        <v>14095.853999999999</v>
      </c>
    </row>
    <row r="272" spans="1:6" ht="12.9" customHeight="1">
      <c r="A272" s="987"/>
      <c r="B272" s="988"/>
      <c r="C272" s="802" t="s">
        <v>3979</v>
      </c>
      <c r="D272" s="782" t="s">
        <v>3104</v>
      </c>
      <c r="E272" s="783">
        <v>0</v>
      </c>
      <c r="F272" s="781">
        <f t="shared" si="6"/>
        <v>0</v>
      </c>
    </row>
    <row r="273" spans="1:6" ht="12.9" customHeight="1">
      <c r="A273" s="987"/>
      <c r="B273" s="988"/>
      <c r="C273" s="801"/>
      <c r="D273" s="782" t="s">
        <v>3097</v>
      </c>
      <c r="E273" s="783">
        <v>390000</v>
      </c>
      <c r="F273" s="781">
        <f t="shared" si="6"/>
        <v>390</v>
      </c>
    </row>
    <row r="274" spans="1:6" ht="12.9" customHeight="1">
      <c r="A274" s="987"/>
      <c r="B274" s="988"/>
      <c r="C274" s="796" t="s">
        <v>3980</v>
      </c>
      <c r="D274" s="782" t="s">
        <v>3097</v>
      </c>
      <c r="E274" s="783">
        <v>0</v>
      </c>
      <c r="F274" s="781">
        <f t="shared" si="6"/>
        <v>0</v>
      </c>
    </row>
    <row r="275" spans="1:6" ht="21.75" customHeight="1">
      <c r="A275" s="987"/>
      <c r="B275" s="988"/>
      <c r="C275" s="796" t="s">
        <v>3981</v>
      </c>
      <c r="D275" s="782" t="s">
        <v>3097</v>
      </c>
      <c r="E275" s="783">
        <v>739000</v>
      </c>
      <c r="F275" s="781">
        <f t="shared" si="6"/>
        <v>739</v>
      </c>
    </row>
    <row r="276" spans="1:6" ht="12.9" customHeight="1">
      <c r="A276" s="987"/>
      <c r="B276" s="988"/>
      <c r="C276" s="802" t="s">
        <v>3654</v>
      </c>
      <c r="D276" s="782" t="s">
        <v>3104</v>
      </c>
      <c r="E276" s="783">
        <v>403069</v>
      </c>
      <c r="F276" s="781">
        <f t="shared" si="6"/>
        <v>403.06900000000002</v>
      </c>
    </row>
    <row r="277" spans="1:6" ht="21" customHeight="1" thickBot="1">
      <c r="A277" s="987"/>
      <c r="B277" s="988"/>
      <c r="C277" s="803"/>
      <c r="D277" s="784" t="s">
        <v>3097</v>
      </c>
      <c r="E277" s="785">
        <v>235795826</v>
      </c>
      <c r="F277" s="781">
        <f t="shared" si="6"/>
        <v>235795.826</v>
      </c>
    </row>
    <row r="278" spans="1:6" ht="20.25" customHeight="1" thickBot="1">
      <c r="A278" s="958" t="s">
        <v>1783</v>
      </c>
      <c r="B278" s="959"/>
      <c r="C278" s="959"/>
      <c r="D278" s="960"/>
      <c r="E278" s="789">
        <v>251823749</v>
      </c>
      <c r="F278" s="789">
        <f>SUM(F270:F277)</f>
        <v>251823.74900000001</v>
      </c>
    </row>
    <row r="279" spans="1:6" ht="21" customHeight="1" thickBot="1">
      <c r="A279" s="998" t="s">
        <v>1784</v>
      </c>
      <c r="B279" s="999"/>
      <c r="C279" s="999"/>
      <c r="D279" s="1000"/>
      <c r="E279" s="806">
        <v>2232534050</v>
      </c>
      <c r="F279" s="806">
        <f>F20+F24+F211+F241+F268+F278</f>
        <v>2747355.1818400002</v>
      </c>
    </row>
  </sheetData>
  <dataConsolidate/>
  <mergeCells count="142">
    <mergeCell ref="A213:B220"/>
    <mergeCell ref="A221:B240"/>
    <mergeCell ref="A268:D268"/>
    <mergeCell ref="A269:F269"/>
    <mergeCell ref="A270:B277"/>
    <mergeCell ref="A278:D278"/>
    <mergeCell ref="A279:D279"/>
    <mergeCell ref="C236:C237"/>
    <mergeCell ref="C206:C207"/>
    <mergeCell ref="C210:D210"/>
    <mergeCell ref="A211:D211"/>
    <mergeCell ref="A212:F212"/>
    <mergeCell ref="C213:C214"/>
    <mergeCell ref="C215:C216"/>
    <mergeCell ref="C217:C218"/>
    <mergeCell ref="C219:C220"/>
    <mergeCell ref="C221:C223"/>
    <mergeCell ref="B185:B210"/>
    <mergeCell ref="C185:C186"/>
    <mergeCell ref="C187:C188"/>
    <mergeCell ref="C189:C190"/>
    <mergeCell ref="C191:C192"/>
    <mergeCell ref="C195:C196"/>
    <mergeCell ref="C197:C198"/>
    <mergeCell ref="A26:A74"/>
    <mergeCell ref="A75:A150"/>
    <mergeCell ref="A151:A210"/>
    <mergeCell ref="C255:C256"/>
    <mergeCell ref="C257:C258"/>
    <mergeCell ref="C259:C261"/>
    <mergeCell ref="C262:C263"/>
    <mergeCell ref="C264:C265"/>
    <mergeCell ref="C266:C267"/>
    <mergeCell ref="C238:C240"/>
    <mergeCell ref="A241:D241"/>
    <mergeCell ref="A242:F242"/>
    <mergeCell ref="A243:B267"/>
    <mergeCell ref="C243:C244"/>
    <mergeCell ref="C245:C246"/>
    <mergeCell ref="C247:C248"/>
    <mergeCell ref="C249:C250"/>
    <mergeCell ref="C251:C252"/>
    <mergeCell ref="C253:C254"/>
    <mergeCell ref="C224:C225"/>
    <mergeCell ref="C226:C227"/>
    <mergeCell ref="C228:C229"/>
    <mergeCell ref="C230:C231"/>
    <mergeCell ref="C233:C235"/>
    <mergeCell ref="C199:C200"/>
    <mergeCell ref="C201:C202"/>
    <mergeCell ref="C204:C205"/>
    <mergeCell ref="C171:D171"/>
    <mergeCell ref="B172:B184"/>
    <mergeCell ref="C173:C175"/>
    <mergeCell ref="C176:C177"/>
    <mergeCell ref="C178:C179"/>
    <mergeCell ref="C180:C181"/>
    <mergeCell ref="C182:C183"/>
    <mergeCell ref="C184:D184"/>
    <mergeCell ref="C145:C146"/>
    <mergeCell ref="C147:C148"/>
    <mergeCell ref="C149:C150"/>
    <mergeCell ref="C152:C154"/>
    <mergeCell ref="C157:D157"/>
    <mergeCell ref="B158:B171"/>
    <mergeCell ref="C158:C159"/>
    <mergeCell ref="C160:C162"/>
    <mergeCell ref="C164:C165"/>
    <mergeCell ref="C166:C167"/>
    <mergeCell ref="B86:B150"/>
    <mergeCell ref="B151:B157"/>
    <mergeCell ref="C130:C131"/>
    <mergeCell ref="C132:C133"/>
    <mergeCell ref="C134:C135"/>
    <mergeCell ref="C136:C137"/>
    <mergeCell ref="C141:C142"/>
    <mergeCell ref="C143:C144"/>
    <mergeCell ref="C117:C118"/>
    <mergeCell ref="C119:C120"/>
    <mergeCell ref="C121:C122"/>
    <mergeCell ref="C124:C125"/>
    <mergeCell ref="C126:C127"/>
    <mergeCell ref="C128:C129"/>
    <mergeCell ref="C105:C106"/>
    <mergeCell ref="C107:C108"/>
    <mergeCell ref="C109:C110"/>
    <mergeCell ref="C111:C112"/>
    <mergeCell ref="C113:C114"/>
    <mergeCell ref="C115:C116"/>
    <mergeCell ref="C86:C87"/>
    <mergeCell ref="C88:C89"/>
    <mergeCell ref="C90:C92"/>
    <mergeCell ref="C93:C94"/>
    <mergeCell ref="C95:C96"/>
    <mergeCell ref="C97:C98"/>
    <mergeCell ref="C99:C100"/>
    <mergeCell ref="C101:C102"/>
    <mergeCell ref="C103:C104"/>
    <mergeCell ref="B75:B85"/>
    <mergeCell ref="C75:C76"/>
    <mergeCell ref="C77:C78"/>
    <mergeCell ref="C79:C80"/>
    <mergeCell ref="C81:C82"/>
    <mergeCell ref="C83:C84"/>
    <mergeCell ref="C85:D85"/>
    <mergeCell ref="C59:C60"/>
    <mergeCell ref="C61:C62"/>
    <mergeCell ref="C63:C64"/>
    <mergeCell ref="C69:C70"/>
    <mergeCell ref="C72:C73"/>
    <mergeCell ref="C74:D74"/>
    <mergeCell ref="C45:C46"/>
    <mergeCell ref="C48:C49"/>
    <mergeCell ref="C50:C51"/>
    <mergeCell ref="C52:C53"/>
    <mergeCell ref="C54:C55"/>
    <mergeCell ref="C56:C57"/>
    <mergeCell ref="B26:B74"/>
    <mergeCell ref="C26:C27"/>
    <mergeCell ref="C28:C29"/>
    <mergeCell ref="C31:C32"/>
    <mergeCell ref="C33:C34"/>
    <mergeCell ref="C35:C36"/>
    <mergeCell ref="C38:C39"/>
    <mergeCell ref="C41:C42"/>
    <mergeCell ref="C43:C44"/>
    <mergeCell ref="C18:C19"/>
    <mergeCell ref="A21:F21"/>
    <mergeCell ref="A22:B23"/>
    <mergeCell ref="C22:C23"/>
    <mergeCell ref="A24:D24"/>
    <mergeCell ref="A25:F25"/>
    <mergeCell ref="A1:F1"/>
    <mergeCell ref="A3:B3"/>
    <mergeCell ref="A4:F4"/>
    <mergeCell ref="A5:B19"/>
    <mergeCell ref="C5:C6"/>
    <mergeCell ref="C7:C8"/>
    <mergeCell ref="C9:C10"/>
    <mergeCell ref="C11:C12"/>
    <mergeCell ref="C13:C15"/>
    <mergeCell ref="C16:C17"/>
  </mergeCells>
  <pageMargins left="0.78740157499999996" right="0.78740157499999996" top="0.984251969" bottom="0.984251969" header="0.4921259845" footer="0.4921259845"/>
  <pageSetup paperSize="9" scale="73" orientation="portrait" r:id="rId1"/>
  <headerFooter>
    <oddHeader>&amp;LPříloha č. 9&amp;CZávěrečný účet Plzeňského kraje za rok 2010</oddHeader>
    <oddFooter>&amp;LKrajský úřad Plzeňského kraje
odbor ekonomický&amp;C&amp;P&amp;R&amp;D</oddFooter>
  </headerFooter>
  <rowBreaks count="1" manualBreakCount="1"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6</vt:i4>
      </vt:variant>
    </vt:vector>
  </HeadingPairs>
  <TitlesOfParts>
    <vt:vector size="28" baseType="lpstr">
      <vt:lpstr>Příloha č. 1</vt:lpstr>
      <vt:lpstr>Příloha č. 2</vt:lpstr>
      <vt:lpstr>Příloha č. 3</vt:lpstr>
      <vt:lpstr>Příloha č. 4</vt:lpstr>
      <vt:lpstr>Příloha č. 5</vt:lpstr>
      <vt:lpstr>Příloha č. 6</vt:lpstr>
      <vt:lpstr>Příloha č. 7</vt:lpstr>
      <vt:lpstr>Příloha č. 8</vt:lpstr>
      <vt:lpstr>Příloha č. 9</vt:lpstr>
      <vt:lpstr>Příloha č. 10</vt:lpstr>
      <vt:lpstr>Příloha č. 11</vt:lpstr>
      <vt:lpstr>Příloha č. 12</vt:lpstr>
      <vt:lpstr>Příloha č. 13</vt:lpstr>
      <vt:lpstr>Příloha č. 14</vt:lpstr>
      <vt:lpstr>Příloha č. 15</vt:lpstr>
      <vt:lpstr>Příloha č. 16</vt:lpstr>
      <vt:lpstr>Příloha č. 17</vt:lpstr>
      <vt:lpstr>Příloha č. 18</vt:lpstr>
      <vt:lpstr>Příloha č. 19</vt:lpstr>
      <vt:lpstr>Příloha č. 20</vt:lpstr>
      <vt:lpstr>Příloha č. 21</vt:lpstr>
      <vt:lpstr>Příloha č. 22</vt:lpstr>
      <vt:lpstr>'Příloha č. 19'!Názvy_tisku</vt:lpstr>
      <vt:lpstr>'Příloha č. 8'!Názvy_tisku</vt:lpstr>
      <vt:lpstr>'Příloha č. 1'!Oblast_tisku</vt:lpstr>
      <vt:lpstr>'Příloha č. 12'!Oblast_tisku</vt:lpstr>
      <vt:lpstr>'Příloha č. 5'!Oblast_tisku</vt:lpstr>
      <vt:lpstr>'Příloha č. 9'!Oblast_tisku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</dc:creator>
  <cp:lastModifiedBy>novam</cp:lastModifiedBy>
  <cp:lastPrinted>2011-05-05T07:56:54Z</cp:lastPrinted>
  <dcterms:created xsi:type="dcterms:W3CDTF">2011-04-27T06:25:25Z</dcterms:created>
  <dcterms:modified xsi:type="dcterms:W3CDTF">2011-06-16T06:17:19Z</dcterms:modified>
</cp:coreProperties>
</file>